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83AD30B-5B9C-4B09-A25A-DBED73F5944B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STATEMENT" sheetId="2" r:id="rId1"/>
    <sheet name="ANNEXURE 2021 OLD" sheetId="1" r:id="rId2"/>
    <sheet name="ANNEXURE 2021 NEW" sheetId="4" r:id="rId3"/>
  </sheets>
  <definedNames>
    <definedName name="_xlnm.Print_Area" localSheetId="2">'ANNEXURE 2021 NEW'!$A$1:$D$32</definedName>
    <definedName name="_xlnm.Print_Area" localSheetId="1">'ANNEXURE 2021 OLD'!$A$1:$D$57</definedName>
    <definedName name="_xlnm.Print_Area" localSheetId="0">STATEMENT!$A$1:$O$37</definedName>
    <definedName name="_xlnm.Print_Titles" localSheetId="2">'ANNEXURE 2021 NEW'!$9:$9</definedName>
    <definedName name="_xlnm.Print_Titles" localSheetId="1">'ANNEXURE 2021 OLD'!$9:$9</definedName>
  </definedNames>
  <calcPr calcId="191029"/>
</workbook>
</file>

<file path=xl/calcChain.xml><?xml version="1.0" encoding="utf-8"?>
<calcChain xmlns="http://schemas.openxmlformats.org/spreadsheetml/2006/main">
  <c r="B13" i="2" l="1"/>
  <c r="B25" i="2" s="1"/>
  <c r="C8" i="1"/>
  <c r="G21" i="2" l="1"/>
  <c r="G22" i="2"/>
  <c r="G23" i="2"/>
  <c r="G24" i="2"/>
  <c r="D24" i="2"/>
  <c r="B32" i="4"/>
  <c r="H37" i="1"/>
  <c r="J37" i="1" s="1"/>
  <c r="D12" i="4"/>
  <c r="D11" i="4"/>
  <c r="D31" i="1"/>
  <c r="E8" i="2"/>
  <c r="E9" i="2"/>
  <c r="D9" i="2"/>
  <c r="G9" i="2" s="1"/>
  <c r="C9" i="2"/>
  <c r="D8" i="2"/>
  <c r="C8" i="2" l="1"/>
  <c r="G8" i="2" s="1"/>
  <c r="D24" i="4" l="1"/>
  <c r="D49" i="1"/>
  <c r="D47" i="1"/>
  <c r="C8" i="4" l="1"/>
  <c r="B8" i="4"/>
  <c r="B7" i="4"/>
  <c r="B6" i="4"/>
  <c r="B6" i="1"/>
  <c r="B8" i="1"/>
  <c r="B5" i="4"/>
  <c r="K31" i="2"/>
  <c r="E10" i="2" l="1"/>
  <c r="E11" i="2"/>
  <c r="E12" i="2"/>
  <c r="E13" i="2"/>
  <c r="E14" i="2"/>
  <c r="E15" i="2"/>
  <c r="E16" i="2"/>
  <c r="E17" i="2"/>
  <c r="E18" i="2"/>
  <c r="E19" i="2"/>
  <c r="E20" i="2"/>
  <c r="D22" i="2"/>
  <c r="D23" i="2"/>
  <c r="B57" i="1"/>
  <c r="A1" i="1"/>
  <c r="B5" i="1"/>
  <c r="B7" i="1"/>
  <c r="J37" i="2"/>
  <c r="F25" i="2"/>
  <c r="K25" i="2"/>
  <c r="C12" i="1" s="1"/>
  <c r="C21" i="1" l="1"/>
  <c r="C14" i="4"/>
  <c r="E25" i="2"/>
  <c r="I25" i="2"/>
  <c r="C35" i="1" s="1"/>
  <c r="L25" i="2"/>
  <c r="C32" i="1" s="1"/>
  <c r="M25" i="2"/>
  <c r="D18" i="1" s="1"/>
  <c r="D10" i="2"/>
  <c r="D22" i="4"/>
  <c r="H31" i="4"/>
  <c r="D14" i="4"/>
  <c r="H22" i="4" s="1"/>
  <c r="D25" i="1"/>
  <c r="D22" i="1"/>
  <c r="H25" i="2" l="1"/>
  <c r="C29" i="1" s="1"/>
  <c r="N25" i="2"/>
  <c r="C30" i="1" s="1"/>
  <c r="O25" i="2"/>
  <c r="C10" i="2"/>
  <c r="G10" i="2" s="1"/>
  <c r="Q14" i="2"/>
  <c r="H29" i="4"/>
  <c r="C39" i="1" l="1"/>
  <c r="D39" i="1" s="1"/>
  <c r="D13" i="2"/>
  <c r="D11" i="2"/>
  <c r="D12" i="2"/>
  <c r="C11" i="2"/>
  <c r="G11" i="2" l="1"/>
  <c r="C12" i="2"/>
  <c r="G12" i="2" l="1"/>
  <c r="C13" i="2"/>
  <c r="D14" i="2" l="1"/>
  <c r="G13" i="2"/>
  <c r="C14" i="2"/>
  <c r="D15" i="2" l="1"/>
  <c r="G14" i="2"/>
  <c r="C15" i="2"/>
  <c r="D16" i="2" l="1"/>
  <c r="D17" i="2"/>
  <c r="C16" i="2"/>
  <c r="G15" i="2"/>
  <c r="G16" i="2" l="1"/>
  <c r="D18" i="2"/>
  <c r="C17" i="2"/>
  <c r="D24" i="1"/>
  <c r="D19" i="2" l="1"/>
  <c r="C18" i="2"/>
  <c r="G18" i="2" s="1"/>
  <c r="G17" i="2"/>
  <c r="D14" i="1"/>
  <c r="D12" i="1"/>
  <c r="D26" i="1"/>
  <c r="D30" i="1"/>
  <c r="H13" i="1"/>
  <c r="H6" i="1"/>
  <c r="D17" i="1"/>
  <c r="D16" i="1"/>
  <c r="D23" i="1"/>
  <c r="D20" i="1"/>
  <c r="D38" i="1"/>
  <c r="D37" i="1"/>
  <c r="D36" i="1"/>
  <c r="D35" i="1"/>
  <c r="D34" i="1"/>
  <c r="D33" i="1"/>
  <c r="D29" i="1"/>
  <c r="C19" i="2" l="1"/>
  <c r="G19" i="2" s="1"/>
  <c r="D32" i="1"/>
  <c r="H29" i="1"/>
  <c r="H38" i="1" l="1"/>
  <c r="D20" i="2"/>
  <c r="D25" i="2" s="1"/>
  <c r="J36" i="1" s="1"/>
  <c r="C20" i="2"/>
  <c r="C25" i="2" s="1"/>
  <c r="H39" i="1" s="1"/>
  <c r="H40" i="1" l="1"/>
  <c r="J40" i="1" s="1"/>
  <c r="H43" i="1"/>
  <c r="J43" i="1" s="1"/>
  <c r="C11" i="1"/>
  <c r="G20" i="2"/>
  <c r="G25" i="2" s="1"/>
  <c r="C10" i="1" s="1"/>
  <c r="D10" i="1" s="1"/>
  <c r="D11" i="1" l="1"/>
  <c r="D13" i="1" s="1"/>
  <c r="D15" i="1" s="1"/>
  <c r="D19" i="1" s="1"/>
  <c r="C10" i="4"/>
  <c r="D10" i="4" s="1"/>
  <c r="D13" i="4" s="1"/>
  <c r="H20" i="4" s="1"/>
  <c r="H23" i="4" s="1"/>
  <c r="D21" i="1"/>
  <c r="H4" i="1"/>
  <c r="H20" i="1"/>
  <c r="H15" i="1"/>
  <c r="H31" i="1"/>
  <c r="D15" i="4" l="1"/>
  <c r="D16" i="4" s="1"/>
  <c r="D17" i="4"/>
  <c r="H24" i="4"/>
  <c r="H25" i="4" s="1"/>
  <c r="D27" i="1"/>
  <c r="H5" i="1" s="1"/>
  <c r="H7" i="1" s="1"/>
  <c r="H8" i="1" s="1"/>
  <c r="H22" i="1"/>
  <c r="H23" i="1" s="1"/>
  <c r="H24" i="1" s="1"/>
  <c r="H25" i="1" s="1"/>
  <c r="H26" i="1" s="1"/>
  <c r="H27" i="1" s="1"/>
  <c r="H28" i="1" s="1"/>
  <c r="H30" i="1" s="1"/>
  <c r="H32" i="1" s="1"/>
  <c r="D18" i="4" l="1"/>
  <c r="D19" i="4" s="1"/>
  <c r="D20" i="4" s="1"/>
  <c r="D21" i="4" s="1"/>
  <c r="H26" i="4"/>
  <c r="H27" i="4" s="1"/>
  <c r="H28" i="4" s="1"/>
  <c r="H30" i="4" s="1"/>
  <c r="H32" i="4" s="1"/>
  <c r="H9" i="1"/>
  <c r="H10" i="1" s="1"/>
  <c r="H11" i="1" s="1"/>
  <c r="H12" i="1" s="1"/>
  <c r="H14" i="1" s="1"/>
  <c r="H16" i="1" s="1"/>
  <c r="D40" i="1"/>
  <c r="D41" i="1" s="1"/>
  <c r="D23" i="4" l="1"/>
  <c r="D25" i="4" s="1"/>
  <c r="D42" i="1"/>
  <c r="D43" i="1" s="1"/>
  <c r="D44" i="1" l="1"/>
  <c r="D45" i="1" s="1"/>
  <c r="D46" i="1" s="1"/>
  <c r="D48" i="1" s="1"/>
  <c r="J25" i="2" l="1"/>
  <c r="D50" i="1"/>
</calcChain>
</file>

<file path=xl/sharedStrings.xml><?xml version="1.0" encoding="utf-8"?>
<sst xmlns="http://schemas.openxmlformats.org/spreadsheetml/2006/main" count="189" uniqueCount="133">
  <si>
    <t>Particulars</t>
  </si>
  <si>
    <t>Less: Deductions u/s 80C</t>
  </si>
  <si>
    <t>Tax</t>
  </si>
  <si>
    <t>Less: Rebate u/s 87A</t>
  </si>
  <si>
    <t>(+) Cess 4%</t>
  </si>
  <si>
    <t>Tax Liability As per New Slab</t>
  </si>
  <si>
    <t>Gross Salary Income</t>
  </si>
  <si>
    <t>Less Deduction</t>
  </si>
  <si>
    <t>Net Taxable Income</t>
  </si>
  <si>
    <t xml:space="preserve">Tax </t>
  </si>
  <si>
    <t>Less Rebate U/s 87A</t>
  </si>
  <si>
    <t>Balance Tax</t>
  </si>
  <si>
    <t>Education Cess</t>
  </si>
  <si>
    <t>Tax Payable</t>
  </si>
  <si>
    <t>Less : Relief U/s 89(1)</t>
  </si>
  <si>
    <t>Less : TDS</t>
  </si>
  <si>
    <t>Tax Liability As per Old Slab</t>
  </si>
  <si>
    <t>Less H L Interest</t>
  </si>
  <si>
    <r>
      <rPr>
        <b/>
        <sz val="12"/>
        <rFont val="Book Antiqua"/>
        <family val="1"/>
      </rPr>
      <t>(For Emplyee Fill)</t>
    </r>
    <r>
      <rPr>
        <sz val="12"/>
        <rFont val="Book Antiqua"/>
        <family val="1"/>
      </rPr>
      <t xml:space="preserve">  Rs.</t>
    </r>
  </si>
  <si>
    <r>
      <t xml:space="preserve">Assessment Year </t>
    </r>
    <r>
      <rPr>
        <sz val="16"/>
        <rFont val="Book Antiqua"/>
        <family val="1"/>
      </rPr>
      <t>2021-2022</t>
    </r>
  </si>
  <si>
    <t>Total :</t>
  </si>
  <si>
    <t>1)  Gross Salary  (F.Y. 2020-21)</t>
  </si>
  <si>
    <t>2)  Less : HRA Exempt</t>
  </si>
  <si>
    <t>4)  Less: Standerd Deduction</t>
  </si>
  <si>
    <t>5)  Other Income</t>
  </si>
  <si>
    <t>6)  Saving Bank Interest</t>
  </si>
  <si>
    <t>7)  Housing Loan Interest (Max Upto 2 Lakh)</t>
  </si>
  <si>
    <t>d)  Tuition Fee</t>
  </si>
  <si>
    <t>g)  PLI</t>
  </si>
  <si>
    <t>h)  NSC</t>
  </si>
  <si>
    <t>i)  Other</t>
  </si>
  <si>
    <t>Total Deduction (a to i) Limited to Rs. 1,50,000</t>
  </si>
  <si>
    <t>Total Deduction (i to v) as Above</t>
  </si>
  <si>
    <r>
      <t xml:space="preserve">ii)  Less:  u/s 80CCD (2) </t>
    </r>
    <r>
      <rPr>
        <b/>
        <sz val="12"/>
        <rFont val="Book Antiqua"/>
        <family val="1"/>
      </rPr>
      <t>{ Employer Contribution }</t>
    </r>
  </si>
  <si>
    <r>
      <t xml:space="preserve">a)  GPF / </t>
    </r>
    <r>
      <rPr>
        <b/>
        <sz val="12"/>
        <rFont val="Book Antiqua"/>
        <family val="1"/>
      </rPr>
      <t>DCPS  { Employee Contribution }</t>
    </r>
  </si>
  <si>
    <t>Taxable Amount</t>
  </si>
  <si>
    <t>Taxable Amount (Round Up)</t>
  </si>
  <si>
    <t>Total Tax</t>
  </si>
  <si>
    <t>Income Tax Payble (F. Y. 2020-21)</t>
  </si>
  <si>
    <t>Income Tax</t>
  </si>
  <si>
    <t>TDS REQUIRED TO BE DEDUCTED (Feb-2021)</t>
  </si>
  <si>
    <t>Sr. No.</t>
  </si>
  <si>
    <t xml:space="preserve">  Government College of Engineering, Jalgaon</t>
  </si>
  <si>
    <t>Less Deduction 80CCD (2)</t>
  </si>
  <si>
    <t>Designation :</t>
  </si>
  <si>
    <t xml:space="preserve">Name            :                                  </t>
  </si>
  <si>
    <t xml:space="preserve">PAN              :  </t>
  </si>
  <si>
    <t xml:space="preserve">Mobile          :  </t>
  </si>
  <si>
    <t>Calculations Rs.</t>
  </si>
  <si>
    <t>Less:  Relief U/s 89  ( Attach form 10E )</t>
  </si>
  <si>
    <r>
      <t xml:space="preserve">i)   Less: u/s 80CCD (1B) </t>
    </r>
    <r>
      <rPr>
        <b/>
        <sz val="10"/>
        <rFont val="Book Antiqua"/>
        <family val="1"/>
      </rPr>
      <t>{ Self Contribution to NPS }</t>
    </r>
  </si>
  <si>
    <t>Less: Already Paid TDS form Salary upto Jan 2021</t>
  </si>
  <si>
    <t>3)  Less: Professional Tax</t>
  </si>
  <si>
    <t>iii) Less:  u/s 80D ( Mediclaim Max. 25000)</t>
  </si>
  <si>
    <t>iv) Less:  u/s 80U ( Self Handicapped)</t>
  </si>
  <si>
    <r>
      <t xml:space="preserve">v)  Less u/s 80 DD  </t>
    </r>
    <r>
      <rPr>
        <sz val="10"/>
        <rFont val="Book Antiqua"/>
        <family val="1"/>
      </rPr>
      <t>(Physically handicapp. Dependent  )</t>
    </r>
  </si>
  <si>
    <r>
      <t xml:space="preserve">vi) Less u/s 80 TTA </t>
    </r>
    <r>
      <rPr>
        <sz val="10"/>
        <rFont val="Book Antiqua"/>
        <family val="1"/>
      </rPr>
      <t>( Interest on Saving Max 10000)</t>
    </r>
  </si>
  <si>
    <t>vii)  Less:  u/s 80G ( Donations )</t>
  </si>
  <si>
    <t>Office Name</t>
  </si>
  <si>
    <t>DOB-----&gt;</t>
  </si>
  <si>
    <t>Mobile No.</t>
  </si>
  <si>
    <t>Aadhar No</t>
  </si>
  <si>
    <t>D.A.</t>
  </si>
  <si>
    <t>HRA</t>
  </si>
  <si>
    <t>TA</t>
  </si>
  <si>
    <t>GPF/DCPS</t>
  </si>
  <si>
    <t>P Tax</t>
  </si>
  <si>
    <t>Name ----&gt;</t>
  </si>
  <si>
    <t>Months</t>
  </si>
  <si>
    <t>Arrears</t>
  </si>
  <si>
    <t>Total</t>
  </si>
  <si>
    <t>DCPS Adjestment</t>
  </si>
  <si>
    <t>Net Pay</t>
  </si>
  <si>
    <t>HBA Principal</t>
  </si>
  <si>
    <t>ADDITION</t>
  </si>
  <si>
    <t>DEDUCTION</t>
  </si>
  <si>
    <t>STATEMENT SHOWING THE DETAILS OF SALARY DRAWN DURING 2020-2021</t>
  </si>
  <si>
    <t>OTHER</t>
  </si>
  <si>
    <t>CERTIFIED THAT THE ABOVE INFORMATION FURNISHED BY ME IS CORRECT AND NO INCOME FROM ANY OTHER COURCES HAS BEEN RECEIVED BY ME.</t>
  </si>
  <si>
    <t>SIGN OF INCUMBENT</t>
  </si>
  <si>
    <t>CERTIFIED THAT THE ABOVE INFORMATION AS PER RECORD OF THIS OFFICE AND FOUND TO BE CORRECT.</t>
  </si>
  <si>
    <t>PRINCIPAL</t>
  </si>
  <si>
    <t>NAME :-</t>
  </si>
  <si>
    <t xml:space="preserve">                Certified that the details furnished by me in this statement are correct to the best of my knowledge and belief. I wish to adopt old Regime of tax calculation.</t>
  </si>
  <si>
    <t>BY R L WANI</t>
  </si>
  <si>
    <t xml:space="preserve">                                        (Signature of the Assessee)</t>
  </si>
  <si>
    <r>
      <t xml:space="preserve"> Statement showing the  Income Tax Calculation sheet for the </t>
    </r>
    <r>
      <rPr>
        <sz val="16"/>
        <rFont val="Book Antiqua"/>
        <family val="1"/>
      </rPr>
      <t>F. Y. 2020-2021</t>
    </r>
  </si>
  <si>
    <t>PART B (Annexure) (Old Regime)</t>
  </si>
  <si>
    <t xml:space="preserve">         Certified that the details furnished by me in this statement are correct to the best of my knowledge and belief. I wish to adopt new Regime of tax calculation.</t>
  </si>
  <si>
    <t>PART B (Annexure) ( New Regime)</t>
  </si>
  <si>
    <t>f)  GIS</t>
  </si>
  <si>
    <t>GIS</t>
  </si>
  <si>
    <t>LIC Salary saving</t>
  </si>
  <si>
    <t>DA Arrears</t>
  </si>
  <si>
    <t>102030 Arrears</t>
  </si>
  <si>
    <t>GOVERNMENT COLLEGE OF ENGG., JALGAON</t>
  </si>
  <si>
    <t>Govt Quarter If Yes then Type 1 else 0</t>
  </si>
  <si>
    <t>Designation --&gt;</t>
  </si>
  <si>
    <t>2)  Other Income</t>
  </si>
  <si>
    <t>3)  Saving Bank Interest</t>
  </si>
  <si>
    <r>
      <t xml:space="preserve">Less:  u/s 80CCD (2) </t>
    </r>
    <r>
      <rPr>
        <b/>
        <sz val="12"/>
        <rFont val="Book Antiqua"/>
        <family val="1"/>
      </rPr>
      <t>{ Employer Contribution }</t>
    </r>
  </si>
  <si>
    <t xml:space="preserve">Designation </t>
  </si>
  <si>
    <t xml:space="preserve">Mobile          </t>
  </si>
  <si>
    <t xml:space="preserve">PAN            </t>
  </si>
  <si>
    <t xml:space="preserve">Name           </t>
  </si>
  <si>
    <t>March 2020 75%</t>
  </si>
  <si>
    <t>Sevaarth ID</t>
  </si>
  <si>
    <t>Actual Amount of HRA Received</t>
  </si>
  <si>
    <t>Basic</t>
  </si>
  <si>
    <t>D A</t>
  </si>
  <si>
    <t>Actually Rent Paid</t>
  </si>
  <si>
    <t>40% of Salary</t>
  </si>
  <si>
    <t>RENT PER MONTH</t>
  </si>
  <si>
    <t>HRA EXEMPTION CALCULATION</t>
  </si>
  <si>
    <t>NO. OF MONTHS</t>
  </si>
  <si>
    <t xml:space="preserve"> March 2020 25%</t>
  </si>
  <si>
    <t>b) i)  LIC Through Salary</t>
  </si>
  <si>
    <t>b) ii)  LIC Direct Payment</t>
  </si>
  <si>
    <t xml:space="preserve">DO NOT CHANGE CELL MARKED WITH RED  COLOUR </t>
  </si>
  <si>
    <t>Other income</t>
  </si>
  <si>
    <t>GPF/DCPS NO</t>
  </si>
  <si>
    <t>FOR HRA EXEMPTION ENTER RENT PER MONTH BELOW</t>
  </si>
  <si>
    <t>REFUND / DUE Tax</t>
  </si>
  <si>
    <t xml:space="preserve">                                             (Signature of the Assessee)</t>
  </si>
  <si>
    <t>PRINCIPAL,</t>
  </si>
  <si>
    <t>Any other Income</t>
  </si>
  <si>
    <t>c)  Housing Loan Repayment ( Principal )</t>
  </si>
  <si>
    <t>e)  PPF/ Sukanya Yojana</t>
  </si>
  <si>
    <t>HBA interest</t>
  </si>
  <si>
    <t>PAN No. -----&gt;</t>
  </si>
  <si>
    <t>Father's Name -&gt;</t>
  </si>
  <si>
    <t>Basic Pay</t>
  </si>
  <si>
    <t>10 % of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</si>
</sst>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\(0\)"/>
    <numFmt numFmtId="165" formatCode="mmmm\ yyyy"/>
    <numFmt numFmtId="166" formatCode="[$-409]d/mmm/yyyy;@"/>
  </numFmts>
  <fonts count="45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3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b/>
      <sz val="12"/>
      <name val="Book Antiqua"/>
      <family val="1"/>
    </font>
    <font>
      <u/>
      <sz val="12"/>
      <name val="Book Antiqua"/>
      <family val="1"/>
    </font>
    <font>
      <sz val="20"/>
      <name val="Book Antiqua"/>
      <family val="1"/>
    </font>
    <font>
      <sz val="15"/>
      <name val="Book Antiqua"/>
      <family val="1"/>
    </font>
    <font>
      <sz val="16"/>
      <name val="Book Antiqua"/>
      <family val="1"/>
    </font>
    <font>
      <b/>
      <sz val="13"/>
      <name val="Book Antiqua"/>
      <family val="1"/>
    </font>
    <font>
      <b/>
      <sz val="10"/>
      <name val="Book Antiqua"/>
      <family val="1"/>
    </font>
    <font>
      <sz val="12"/>
      <color theme="9" tint="-0.249977111117893"/>
      <name val="Book Antiqua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1"/>
      <color rgb="FFFF0000"/>
      <name val="Arial Black"/>
      <family val="2"/>
    </font>
    <font>
      <b/>
      <sz val="11"/>
      <name val="Arial Black"/>
      <family val="2"/>
    </font>
    <font>
      <sz val="10"/>
      <name val="Book Antiqua"/>
      <family val="1"/>
    </font>
    <font>
      <b/>
      <sz val="12"/>
      <color rgb="FFBF0B0B"/>
      <name val="Book Antiqua"/>
      <family val="1"/>
    </font>
    <font>
      <sz val="12"/>
      <color rgb="FFBF0B0B"/>
      <name val="Book Antiqua"/>
      <family val="1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sz val="20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Mistral"/>
      <family val="4"/>
    </font>
    <font>
      <sz val="14"/>
      <name val="Arial"/>
      <family val="2"/>
    </font>
    <font>
      <sz val="12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rgb="FFFF0000"/>
      <name val="Book Antiqua"/>
      <family val="1"/>
    </font>
    <font>
      <sz val="8"/>
      <color rgb="FFFF0000"/>
      <name val="Calibri"/>
      <family val="2"/>
      <scheme val="minor"/>
    </font>
    <font>
      <sz val="12"/>
      <color rgb="FFFF0000"/>
      <name val="Book Antiqua"/>
      <family val="1"/>
    </font>
    <font>
      <sz val="14"/>
      <color rgb="FFFF0000"/>
      <name val="Arial"/>
      <family val="2"/>
    </font>
    <font>
      <sz val="14"/>
      <color rgb="FFFF0000"/>
      <name val="Book Antiqua"/>
      <family val="1"/>
    </font>
    <font>
      <sz val="12"/>
      <name val="Times New Roman"/>
      <family val="1"/>
    </font>
    <font>
      <b/>
      <sz val="16"/>
      <color rgb="FFBF0B0B"/>
      <name val="Book Antiqua"/>
      <family val="1"/>
    </font>
    <font>
      <b/>
      <sz val="8"/>
      <name val="Book Antiqua"/>
      <family val="1"/>
    </font>
    <font>
      <sz val="14"/>
      <name val="Book Antiqua"/>
      <family val="1"/>
    </font>
    <font>
      <b/>
      <sz val="13"/>
      <color rgb="FFFF0000"/>
      <name val="Book Antiqua"/>
      <family val="1"/>
    </font>
    <font>
      <b/>
      <sz val="11"/>
      <color rgb="FF0070C0"/>
      <name val="Arial Black"/>
      <family val="2"/>
    </font>
    <font>
      <sz val="12"/>
      <color rgb="FFFF0000"/>
      <name val="Calibri"/>
      <family val="2"/>
      <scheme val="minor"/>
    </font>
    <font>
      <b/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86">
    <xf numFmtId="0" fontId="0" fillId="0" borderId="0" xfId="0"/>
    <xf numFmtId="0" fontId="5" fillId="0" borderId="0" xfId="0" applyFont="1" applyAlignment="1">
      <alignment vertical="center"/>
    </xf>
    <xf numFmtId="1" fontId="4" fillId="3" borderId="1" xfId="1" applyNumberFormat="1" applyFont="1" applyFill="1" applyBorder="1" applyAlignment="1" applyProtection="1">
      <alignment vertical="center"/>
      <protection locked="0"/>
    </xf>
    <xf numFmtId="0" fontId="5" fillId="3" borderId="0" xfId="0" applyFont="1" applyFill="1" applyBorder="1" applyAlignment="1">
      <alignment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/>
    </xf>
    <xf numFmtId="0" fontId="6" fillId="0" borderId="1" xfId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6" fillId="3" borderId="0" xfId="1" applyFont="1" applyFill="1" applyBorder="1" applyAlignment="1" applyProtection="1">
      <alignment horizontal="center" vertical="center" wrapText="1"/>
      <protection locked="0"/>
    </xf>
    <xf numFmtId="1" fontId="4" fillId="3" borderId="0" xfId="1" applyNumberFormat="1" applyFont="1" applyFill="1" applyBorder="1" applyAlignment="1" applyProtection="1">
      <alignment vertical="center"/>
    </xf>
    <xf numFmtId="1" fontId="6" fillId="5" borderId="0" xfId="1" applyNumberFormat="1" applyFont="1" applyFill="1" applyBorder="1" applyAlignment="1" applyProtection="1">
      <alignment vertical="center"/>
    </xf>
    <xf numFmtId="164" fontId="6" fillId="3" borderId="0" xfId="1" applyNumberFormat="1" applyFont="1" applyFill="1" applyBorder="1" applyAlignment="1" applyProtection="1">
      <alignment vertical="center"/>
    </xf>
    <xf numFmtId="1" fontId="4" fillId="3" borderId="0" xfId="1" applyNumberFormat="1" applyFont="1" applyFill="1" applyBorder="1" applyAlignment="1" applyProtection="1">
      <alignment vertical="center"/>
      <protection locked="0"/>
    </xf>
    <xf numFmtId="164" fontId="6" fillId="5" borderId="0" xfId="1" applyNumberFormat="1" applyFont="1" applyFill="1" applyBorder="1" applyAlignment="1" applyProtection="1">
      <alignment vertical="center"/>
    </xf>
    <xf numFmtId="1" fontId="4" fillId="7" borderId="0" xfId="1" applyNumberFormat="1" applyFont="1" applyFill="1" applyBorder="1" applyAlignment="1" applyProtection="1">
      <alignment vertical="center"/>
      <protection locked="0"/>
    </xf>
    <xf numFmtId="1" fontId="6" fillId="4" borderId="0" xfId="1" applyNumberFormat="1" applyFont="1" applyFill="1" applyBorder="1" applyAlignment="1" applyProtection="1">
      <alignment vertical="center"/>
    </xf>
    <xf numFmtId="1" fontId="6" fillId="3" borderId="0" xfId="1" applyNumberFormat="1" applyFont="1" applyFill="1" applyBorder="1" applyAlignment="1" applyProtection="1">
      <alignment vertical="center"/>
    </xf>
    <xf numFmtId="0" fontId="16" fillId="0" borderId="1" xfId="3" applyFont="1" applyBorder="1" applyAlignment="1" applyProtection="1">
      <alignment vertical="center"/>
      <protection locked="0"/>
    </xf>
    <xf numFmtId="1" fontId="16" fillId="0" borderId="1" xfId="3" applyNumberFormat="1" applyFont="1" applyBorder="1" applyAlignment="1" applyProtection="1">
      <alignment vertical="center"/>
      <protection locked="0"/>
    </xf>
    <xf numFmtId="164" fontId="16" fillId="0" borderId="1" xfId="3" applyNumberFormat="1" applyFont="1" applyBorder="1" applyAlignment="1" applyProtection="1">
      <alignment vertical="center"/>
    </xf>
    <xf numFmtId="1" fontId="16" fillId="0" borderId="1" xfId="3" applyNumberFormat="1" applyFont="1" applyBorder="1" applyAlignment="1" applyProtection="1">
      <alignment vertical="center"/>
    </xf>
    <xf numFmtId="1" fontId="16" fillId="3" borderId="1" xfId="3" applyNumberFormat="1" applyFont="1" applyFill="1" applyBorder="1" applyAlignment="1" applyProtection="1">
      <alignment vertical="center"/>
    </xf>
    <xf numFmtId="1" fontId="16" fillId="3" borderId="1" xfId="3" applyNumberFormat="1" applyFont="1" applyFill="1" applyBorder="1" applyAlignment="1" applyProtection="1">
      <alignment vertical="center"/>
      <protection locked="0"/>
    </xf>
    <xf numFmtId="1" fontId="16" fillId="4" borderId="1" xfId="3" applyNumberFormat="1" applyFont="1" applyFill="1" applyBorder="1" applyAlignment="1" applyProtection="1">
      <alignment vertical="center"/>
    </xf>
    <xf numFmtId="0" fontId="17" fillId="0" borderId="1" xfId="2" applyFont="1" applyBorder="1" applyAlignment="1" applyProtection="1">
      <alignment vertical="center"/>
      <protection locked="0"/>
    </xf>
    <xf numFmtId="1" fontId="17" fillId="3" borderId="1" xfId="2" applyNumberFormat="1" applyFont="1" applyFill="1" applyBorder="1" applyAlignment="1" applyProtection="1">
      <alignment vertical="center"/>
      <protection locked="0"/>
    </xf>
    <xf numFmtId="164" fontId="17" fillId="3" borderId="1" xfId="2" applyNumberFormat="1" applyFont="1" applyFill="1" applyBorder="1" applyAlignment="1" applyProtection="1">
      <alignment horizontal="right" vertical="center"/>
    </xf>
    <xf numFmtId="1" fontId="17" fillId="3" borderId="1" xfId="2" applyNumberFormat="1" applyFont="1" applyFill="1" applyBorder="1" applyAlignment="1" applyProtection="1">
      <alignment vertical="center"/>
    </xf>
    <xf numFmtId="1" fontId="17" fillId="4" borderId="1" xfId="2" applyNumberFormat="1" applyFont="1" applyFill="1" applyBorder="1" applyAlignment="1" applyProtection="1">
      <alignment vertical="center"/>
    </xf>
    <xf numFmtId="0" fontId="19" fillId="3" borderId="1" xfId="1" applyFont="1" applyFill="1" applyBorder="1" applyAlignment="1" applyProtection="1">
      <alignment horizontal="center" vertical="center" wrapText="1"/>
      <protection locked="0"/>
    </xf>
    <xf numFmtId="1" fontId="20" fillId="3" borderId="1" xfId="1" applyNumberFormat="1" applyFont="1" applyFill="1" applyBorder="1" applyAlignment="1" applyProtection="1">
      <alignment vertical="center"/>
    </xf>
    <xf numFmtId="1" fontId="19" fillId="5" borderId="1" xfId="1" applyNumberFormat="1" applyFont="1" applyFill="1" applyBorder="1" applyAlignment="1" applyProtection="1">
      <alignment vertical="center"/>
    </xf>
    <xf numFmtId="164" fontId="19" fillId="3" borderId="1" xfId="1" applyNumberFormat="1" applyFont="1" applyFill="1" applyBorder="1" applyAlignment="1" applyProtection="1">
      <alignment vertical="center"/>
    </xf>
    <xf numFmtId="1" fontId="20" fillId="3" borderId="1" xfId="1" applyNumberFormat="1" applyFont="1" applyFill="1" applyBorder="1" applyAlignment="1" applyProtection="1">
      <alignment vertical="center"/>
      <protection locked="0"/>
    </xf>
    <xf numFmtId="164" fontId="19" fillId="5" borderId="1" xfId="1" applyNumberFormat="1" applyFont="1" applyFill="1" applyBorder="1" applyAlignment="1" applyProtection="1">
      <alignment vertical="center"/>
    </xf>
    <xf numFmtId="1" fontId="19" fillId="4" borderId="1" xfId="1" applyNumberFormat="1" applyFont="1" applyFill="1" applyBorder="1" applyAlignment="1" applyProtection="1">
      <alignment vertical="center"/>
    </xf>
    <xf numFmtId="1" fontId="19" fillId="3" borderId="1" xfId="1" applyNumberFormat="1" applyFont="1" applyFill="1" applyBorder="1" applyAlignment="1" applyProtection="1">
      <alignment vertical="center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 applyProtection="1">
      <alignment vertical="center"/>
      <protection locked="0"/>
    </xf>
    <xf numFmtId="0" fontId="21" fillId="0" borderId="0" xfId="0" applyFont="1" applyFill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 applyProtection="1">
      <alignment vertical="center" wrapText="1"/>
      <protection locked="0"/>
    </xf>
    <xf numFmtId="165" fontId="21" fillId="0" borderId="1" xfId="0" applyNumberFormat="1" applyFont="1" applyFill="1" applyBorder="1" applyAlignment="1" applyProtection="1">
      <alignment horizontal="center" vertical="center"/>
      <protection locked="0"/>
    </xf>
    <xf numFmtId="17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3" borderId="0" xfId="0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1" fontId="6" fillId="5" borderId="0" xfId="1" applyNumberFormat="1" applyFont="1" applyFill="1" applyBorder="1" applyAlignment="1" applyProtection="1">
      <alignment vertical="center"/>
      <protection locked="0"/>
    </xf>
    <xf numFmtId="164" fontId="6" fillId="3" borderId="0" xfId="1" applyNumberFormat="1" applyFont="1" applyFill="1" applyBorder="1" applyAlignment="1" applyProtection="1">
      <alignment vertical="center"/>
      <protection locked="0"/>
    </xf>
    <xf numFmtId="164" fontId="6" fillId="5" borderId="0" xfId="1" applyNumberFormat="1" applyFont="1" applyFill="1" applyBorder="1" applyAlignment="1" applyProtection="1">
      <alignment vertical="center"/>
      <protection locked="0"/>
    </xf>
    <xf numFmtId="164" fontId="16" fillId="0" borderId="1" xfId="3" applyNumberFormat="1" applyFont="1" applyBorder="1" applyAlignment="1" applyProtection="1">
      <alignment vertical="center"/>
      <protection locked="0"/>
    </xf>
    <xf numFmtId="1" fontId="6" fillId="4" borderId="0" xfId="1" applyNumberFormat="1" applyFont="1" applyFill="1" applyBorder="1" applyAlignment="1" applyProtection="1">
      <alignment vertical="center"/>
      <protection locked="0"/>
    </xf>
    <xf numFmtId="1" fontId="16" fillId="4" borderId="1" xfId="3" applyNumberFormat="1" applyFont="1" applyFill="1" applyBorder="1" applyAlignment="1" applyProtection="1">
      <alignment vertical="center"/>
      <protection locked="0"/>
    </xf>
    <xf numFmtId="1" fontId="6" fillId="3" borderId="0" xfId="1" applyNumberFormat="1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9" fillId="3" borderId="1" xfId="1" applyFont="1" applyFill="1" applyBorder="1" applyAlignment="1" applyProtection="1">
      <alignment horizontal="center" vertical="center" wrapText="1"/>
    </xf>
    <xf numFmtId="1" fontId="20" fillId="7" borderId="1" xfId="1" applyNumberFormat="1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/>
    </xf>
    <xf numFmtId="0" fontId="26" fillId="3" borderId="0" xfId="0" applyFont="1" applyFill="1" applyBorder="1" applyAlignment="1" applyProtection="1">
      <alignment horizontal="right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0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29" fillId="0" borderId="8" xfId="0" applyFont="1" applyBorder="1" applyAlignment="1">
      <alignment vertical="center"/>
    </xf>
    <xf numFmtId="0" fontId="29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1" fontId="33" fillId="3" borderId="1" xfId="1" applyNumberFormat="1" applyFont="1" applyFill="1" applyBorder="1" applyAlignment="1" applyProtection="1">
      <alignment vertical="center"/>
      <protection locked="0"/>
    </xf>
    <xf numFmtId="0" fontId="16" fillId="0" borderId="0" xfId="3" applyFont="1" applyBorder="1" applyAlignment="1" applyProtection="1">
      <alignment vertical="center"/>
      <protection locked="0"/>
    </xf>
    <xf numFmtId="1" fontId="16" fillId="4" borderId="0" xfId="3" applyNumberFormat="1" applyFont="1" applyFill="1" applyBorder="1" applyAlignment="1" applyProtection="1">
      <alignment vertical="center"/>
      <protection locked="0"/>
    </xf>
    <xf numFmtId="0" fontId="25" fillId="0" borderId="0" xfId="0" applyFont="1" applyAlignment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14" fillId="0" borderId="0" xfId="0" applyFont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" fontId="37" fillId="3" borderId="1" xfId="1" applyNumberFormat="1" applyFont="1" applyFill="1" applyBorder="1" applyAlignment="1" applyProtection="1">
      <alignment vertical="center"/>
    </xf>
    <xf numFmtId="1" fontId="0" fillId="0" borderId="1" xfId="0" applyNumberFormat="1" applyBorder="1" applyAlignment="1">
      <alignment vertical="center"/>
    </xf>
    <xf numFmtId="1" fontId="39" fillId="3" borderId="1" xfId="1" applyNumberFormat="1" applyFont="1" applyFill="1" applyBorder="1" applyAlignment="1" applyProtection="1">
      <alignment vertical="center"/>
      <protection locked="0"/>
    </xf>
    <xf numFmtId="0" fontId="40" fillId="0" borderId="2" xfId="0" applyFont="1" applyBorder="1" applyAlignment="1" applyProtection="1">
      <alignment vertical="center"/>
      <protection locked="0"/>
    </xf>
    <xf numFmtId="0" fontId="40" fillId="0" borderId="2" xfId="0" applyFont="1" applyBorder="1" applyAlignment="1" applyProtection="1">
      <alignment horizontal="left" vertical="center"/>
      <protection locked="0"/>
    </xf>
    <xf numFmtId="0" fontId="40" fillId="0" borderId="2" xfId="0" applyFont="1" applyBorder="1" applyAlignment="1">
      <alignment vertical="center"/>
    </xf>
    <xf numFmtId="0" fontId="40" fillId="0" borderId="2" xfId="0" applyFont="1" applyBorder="1" applyAlignment="1">
      <alignment horizontal="left" vertical="center"/>
    </xf>
    <xf numFmtId="0" fontId="16" fillId="0" borderId="1" xfId="2" applyFont="1" applyBorder="1" applyAlignment="1" applyProtection="1">
      <alignment vertical="center"/>
      <protection locked="0"/>
    </xf>
    <xf numFmtId="0" fontId="41" fillId="0" borderId="1" xfId="2" applyFont="1" applyBorder="1" applyAlignment="1" applyProtection="1">
      <alignment vertical="center"/>
      <protection locked="0"/>
    </xf>
    <xf numFmtId="1" fontId="41" fillId="3" borderId="1" xfId="2" applyNumberFormat="1" applyFont="1" applyFill="1" applyBorder="1" applyAlignment="1" applyProtection="1">
      <alignment vertical="center"/>
      <protection locked="0"/>
    </xf>
    <xf numFmtId="164" fontId="41" fillId="3" borderId="1" xfId="2" applyNumberFormat="1" applyFont="1" applyFill="1" applyBorder="1" applyAlignment="1" applyProtection="1">
      <alignment horizontal="right" vertical="center"/>
      <protection locked="0"/>
    </xf>
    <xf numFmtId="1" fontId="41" fillId="4" borderId="1" xfId="2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vertical="center" wrapText="1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25" fillId="0" borderId="1" xfId="0" applyFont="1" applyBorder="1" applyAlignment="1">
      <alignment vertical="center"/>
    </xf>
    <xf numFmtId="0" fontId="27" fillId="0" borderId="1" xfId="0" applyFont="1" applyFill="1" applyBorder="1" applyAlignment="1" applyProtection="1">
      <alignment vertical="center"/>
      <protection locked="0"/>
    </xf>
    <xf numFmtId="0" fontId="34" fillId="0" borderId="1" xfId="0" applyFont="1" applyFill="1" applyBorder="1" applyAlignment="1" applyProtection="1">
      <alignment vertical="center"/>
      <protection locked="0"/>
    </xf>
    <xf numFmtId="0" fontId="34" fillId="0" borderId="2" xfId="0" applyFont="1" applyFill="1" applyBorder="1" applyAlignment="1">
      <alignment vertical="center"/>
    </xf>
    <xf numFmtId="0" fontId="27" fillId="0" borderId="0" xfId="0" applyFont="1" applyFill="1" applyBorder="1" applyAlignment="1" applyProtection="1">
      <alignment vertical="center"/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43" fillId="0" borderId="1" xfId="0" applyFont="1" applyFill="1" applyBorder="1" applyAlignment="1">
      <alignment vertical="center"/>
    </xf>
    <xf numFmtId="0" fontId="43" fillId="0" borderId="2" xfId="0" applyFont="1" applyFill="1" applyBorder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35" fillId="0" borderId="13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 wrapText="1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2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166" fontId="22" fillId="0" borderId="2" xfId="0" applyNumberFormat="1" applyFont="1" applyFill="1" applyBorder="1" applyAlignment="1" applyProtection="1">
      <alignment horizontal="center" vertical="center"/>
      <protection locked="0"/>
    </xf>
    <xf numFmtId="166" fontId="22" fillId="0" borderId="4" xfId="0" applyNumberFormat="1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1" fontId="3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1" fillId="0" borderId="1" xfId="2" applyFont="1" applyBorder="1" applyAlignment="1" applyProtection="1">
      <alignment horizontal="center" vertical="center"/>
      <protection locked="0"/>
    </xf>
    <xf numFmtId="1" fontId="40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1" fillId="2" borderId="1" xfId="2" applyFont="1" applyFill="1" applyBorder="1" applyAlignment="1" applyProtection="1">
      <alignment horizontal="center" vertical="center"/>
      <protection locked="0"/>
    </xf>
    <xf numFmtId="0" fontId="16" fillId="0" borderId="1" xfId="3" applyFont="1" applyBorder="1" applyAlignment="1" applyProtection="1">
      <alignment horizontal="center" vertical="center"/>
      <protection locked="0"/>
    </xf>
    <xf numFmtId="0" fontId="16" fillId="6" borderId="1" xfId="3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left" vertical="center"/>
    </xf>
    <xf numFmtId="2" fontId="40" fillId="0" borderId="1" xfId="0" applyNumberFormat="1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7" fillId="2" borderId="1" xfId="2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17" fillId="0" borderId="1" xfId="2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44" fillId="0" borderId="9" xfId="0" applyFont="1" applyBorder="1" applyAlignment="1">
      <alignment vertical="center"/>
    </xf>
    <xf numFmtId="0" fontId="31" fillId="0" borderId="14" xfId="0" applyFont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center" vertical="center"/>
      <protection locked="0"/>
    </xf>
    <xf numFmtId="0" fontId="31" fillId="0" borderId="16" xfId="0" applyFont="1" applyBorder="1" applyAlignment="1" applyProtection="1">
      <alignment horizontal="center" vertical="center"/>
      <protection locked="0"/>
    </xf>
    <xf numFmtId="0" fontId="32" fillId="0" borderId="9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</cellXfs>
  <cellStyles count="4">
    <cellStyle name="Normal" xfId="0" builtinId="0"/>
    <cellStyle name="Normal 2" xfId="1" xr:uid="{00000000-0005-0000-0000-000001000000}"/>
    <cellStyle name="Normal 7" xfId="2" xr:uid="{00000000-0005-0000-0000-000002000000}"/>
    <cellStyle name="Normal 9" xfId="3" xr:uid="{00000000-0005-0000-0000-000003000000}"/>
  </cellStyles>
  <dxfs count="0"/>
  <tableStyles count="0" defaultTableStyle="TableStyleMedium9" defaultPivotStyle="PivotStyleLight16"/>
  <colors>
    <mruColors>
      <color rgb="FFBF0B0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Q43"/>
  <sheetViews>
    <sheetView view="pageBreakPreview" topLeftCell="A13" zoomScale="85" zoomScaleNormal="55" zoomScaleSheetLayoutView="85" workbookViewId="0">
      <selection activeCell="H7" sqref="H7:O7"/>
    </sheetView>
  </sheetViews>
  <sheetFormatPr defaultRowHeight="15" x14ac:dyDescent="0.25"/>
  <cols>
    <col min="1" max="1" width="20.140625" style="50" bestFit="1" customWidth="1"/>
    <col min="2" max="2" width="12.28515625" style="49" customWidth="1"/>
    <col min="3" max="3" width="13" style="49" customWidth="1"/>
    <col min="4" max="4" width="15.140625" style="49" customWidth="1"/>
    <col min="5" max="5" width="11.85546875" style="49" customWidth="1"/>
    <col min="6" max="6" width="14.85546875" style="49" customWidth="1"/>
    <col min="7" max="7" width="19.42578125" style="49" bestFit="1" customWidth="1"/>
    <col min="8" max="8" width="13.140625" style="49" customWidth="1"/>
    <col min="9" max="9" width="13.85546875" style="49" customWidth="1"/>
    <col min="10" max="10" width="10.7109375" style="49" customWidth="1"/>
    <col min="11" max="11" width="14.85546875" style="49" customWidth="1"/>
    <col min="12" max="12" width="12.5703125" style="49" customWidth="1"/>
    <col min="13" max="13" width="10.42578125" style="49" customWidth="1"/>
    <col min="14" max="14" width="12.5703125" style="49" customWidth="1"/>
    <col min="15" max="15" width="12.7109375" style="49" customWidth="1"/>
    <col min="16" max="16" width="14.28515625" style="117" customWidth="1"/>
    <col min="17" max="16384" width="9.140625" style="49"/>
  </cols>
  <sheetData>
    <row r="1" spans="1:17" ht="27" customHeight="1" x14ac:dyDescent="0.25">
      <c r="A1" s="145" t="s">
        <v>76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35" t="s">
        <v>118</v>
      </c>
    </row>
    <row r="2" spans="1:17" ht="20.25" customHeight="1" x14ac:dyDescent="0.25">
      <c r="P2" s="135"/>
    </row>
    <row r="3" spans="1:17" ht="27" customHeight="1" x14ac:dyDescent="0.25">
      <c r="A3" s="48" t="s">
        <v>67</v>
      </c>
      <c r="B3" s="140"/>
      <c r="C3" s="141"/>
      <c r="D3" s="141"/>
      <c r="E3" s="141"/>
      <c r="F3" s="142"/>
      <c r="G3" s="119" t="s">
        <v>130</v>
      </c>
      <c r="H3" s="143"/>
      <c r="I3" s="143"/>
      <c r="J3" s="143"/>
      <c r="K3" s="48" t="s">
        <v>58</v>
      </c>
      <c r="L3" s="148" t="s">
        <v>95</v>
      </c>
      <c r="M3" s="148"/>
      <c r="N3" s="148"/>
      <c r="O3" s="148"/>
      <c r="P3" s="135"/>
    </row>
    <row r="4" spans="1:17" ht="27" customHeight="1" x14ac:dyDescent="0.25">
      <c r="A4" s="48" t="s">
        <v>97</v>
      </c>
      <c r="B4" s="140"/>
      <c r="C4" s="141"/>
      <c r="D4" s="141"/>
      <c r="E4" s="141"/>
      <c r="F4" s="142"/>
      <c r="G4" s="119" t="s">
        <v>60</v>
      </c>
      <c r="H4" s="143"/>
      <c r="I4" s="143"/>
      <c r="J4" s="143"/>
      <c r="K4" s="48" t="s">
        <v>61</v>
      </c>
      <c r="L4" s="144"/>
      <c r="M4" s="144"/>
      <c r="N4" s="144"/>
      <c r="O4" s="144"/>
      <c r="P4" s="135"/>
    </row>
    <row r="5" spans="1:17" ht="25.5" customHeight="1" x14ac:dyDescent="0.25">
      <c r="A5" s="48" t="s">
        <v>129</v>
      </c>
      <c r="B5" s="140"/>
      <c r="C5" s="142"/>
      <c r="D5" s="48" t="s">
        <v>59</v>
      </c>
      <c r="E5" s="151"/>
      <c r="F5" s="152"/>
      <c r="G5" s="119" t="s">
        <v>106</v>
      </c>
      <c r="H5" s="143"/>
      <c r="I5" s="143"/>
      <c r="J5" s="143"/>
      <c r="K5" s="104" t="s">
        <v>120</v>
      </c>
      <c r="L5" s="144"/>
      <c r="M5" s="144"/>
      <c r="N5" s="144"/>
      <c r="O5" s="144"/>
      <c r="P5" s="135"/>
    </row>
    <row r="6" spans="1:17" s="52" customFormat="1" ht="23.25" customHeight="1" x14ac:dyDescent="0.25">
      <c r="A6" s="146" t="s">
        <v>68</v>
      </c>
      <c r="B6" s="149" t="s">
        <v>74</v>
      </c>
      <c r="C6" s="150"/>
      <c r="D6" s="150"/>
      <c r="E6" s="150"/>
      <c r="F6" s="150"/>
      <c r="G6" s="150"/>
      <c r="H6" s="153" t="s">
        <v>75</v>
      </c>
      <c r="I6" s="153"/>
      <c r="J6" s="153"/>
      <c r="K6" s="153"/>
      <c r="L6" s="153"/>
      <c r="M6" s="153"/>
      <c r="N6" s="153"/>
      <c r="O6" s="153"/>
      <c r="P6" s="135"/>
    </row>
    <row r="7" spans="1:17" s="52" customFormat="1" ht="37.5" customHeight="1" x14ac:dyDescent="0.25">
      <c r="A7" s="147"/>
      <c r="B7" s="51" t="s">
        <v>131</v>
      </c>
      <c r="C7" s="51" t="s">
        <v>62</v>
      </c>
      <c r="D7" s="51" t="s">
        <v>63</v>
      </c>
      <c r="E7" s="51" t="s">
        <v>64</v>
      </c>
      <c r="F7" s="51" t="s">
        <v>71</v>
      </c>
      <c r="G7" s="99" t="s">
        <v>72</v>
      </c>
      <c r="H7" s="51" t="s">
        <v>65</v>
      </c>
      <c r="I7" s="51" t="s">
        <v>91</v>
      </c>
      <c r="J7" s="51" t="s">
        <v>39</v>
      </c>
      <c r="K7" s="51" t="s">
        <v>66</v>
      </c>
      <c r="L7" s="51" t="s">
        <v>73</v>
      </c>
      <c r="M7" s="51" t="s">
        <v>128</v>
      </c>
      <c r="N7" s="51" t="s">
        <v>92</v>
      </c>
      <c r="O7" s="51" t="s">
        <v>77</v>
      </c>
      <c r="P7" s="118"/>
    </row>
    <row r="8" spans="1:17" ht="24" customHeight="1" x14ac:dyDescent="0.25">
      <c r="A8" s="53" t="s">
        <v>105</v>
      </c>
      <c r="B8" s="122"/>
      <c r="C8" s="123">
        <f>ROUND((B8*0.17),0)</f>
        <v>0</v>
      </c>
      <c r="D8" s="123">
        <f>IF(($B$29=1),0,(ROUND((B8*0.08),0)))</f>
        <v>0</v>
      </c>
      <c r="E8" s="123">
        <f>IF(($B$29=1),0,(310))</f>
        <v>310</v>
      </c>
      <c r="F8" s="123">
        <v>0</v>
      </c>
      <c r="G8" s="124">
        <f t="shared" ref="G8" si="0">SUM(B8:F8)</f>
        <v>310</v>
      </c>
      <c r="H8" s="122">
        <v>0</v>
      </c>
      <c r="I8" s="122">
        <v>0</v>
      </c>
      <c r="J8" s="122">
        <v>0</v>
      </c>
      <c r="K8" s="123">
        <v>200</v>
      </c>
      <c r="L8" s="122">
        <v>0</v>
      </c>
      <c r="M8" s="122">
        <v>0</v>
      </c>
      <c r="N8" s="122">
        <v>0</v>
      </c>
      <c r="O8" s="122">
        <v>0</v>
      </c>
    </row>
    <row r="9" spans="1:17" ht="24" customHeight="1" x14ac:dyDescent="0.25">
      <c r="A9" s="53" t="s">
        <v>115</v>
      </c>
      <c r="B9" s="122"/>
      <c r="C9" s="123">
        <f>ROUND((B9*0.17),0)</f>
        <v>0</v>
      </c>
      <c r="D9" s="123">
        <f>IF(($B$29=1),0,(ROUND((B9*0.08),0)))</f>
        <v>0</v>
      </c>
      <c r="E9" s="123">
        <f>IF(($B$29=1),0,(90))</f>
        <v>90</v>
      </c>
      <c r="F9" s="123">
        <v>0</v>
      </c>
      <c r="G9" s="124">
        <f t="shared" ref="G9" si="1">SUM(B9:F9)</f>
        <v>90</v>
      </c>
      <c r="H9" s="122">
        <v>0</v>
      </c>
      <c r="I9" s="122">
        <v>0</v>
      </c>
      <c r="J9" s="122">
        <v>0</v>
      </c>
      <c r="K9" s="123">
        <v>0</v>
      </c>
      <c r="L9" s="122">
        <v>0</v>
      </c>
      <c r="M9" s="122">
        <v>0</v>
      </c>
      <c r="N9" s="122">
        <v>0</v>
      </c>
      <c r="O9" s="122">
        <v>0</v>
      </c>
    </row>
    <row r="10" spans="1:17" ht="24" customHeight="1" x14ac:dyDescent="0.25">
      <c r="A10" s="53">
        <v>43922</v>
      </c>
      <c r="B10" s="122"/>
      <c r="C10" s="123">
        <f t="shared" ref="C10:C20" si="2">B10*0.17</f>
        <v>0</v>
      </c>
      <c r="D10" s="123">
        <f t="shared" ref="D10:D23" si="3">IF(($B$29=1),0,(B10*0.08))</f>
        <v>0</v>
      </c>
      <c r="E10" s="123">
        <f t="shared" ref="E10:E20" si="4">IF(($B$29=1),0,(400))</f>
        <v>400</v>
      </c>
      <c r="F10" s="123">
        <v>0</v>
      </c>
      <c r="G10" s="124">
        <f t="shared" ref="G10:G24" si="5">SUM(B10:F10)</f>
        <v>400</v>
      </c>
      <c r="H10" s="122">
        <v>0</v>
      </c>
      <c r="I10" s="122">
        <v>0</v>
      </c>
      <c r="J10" s="122">
        <v>0</v>
      </c>
      <c r="K10" s="123">
        <v>200</v>
      </c>
      <c r="L10" s="122">
        <v>0</v>
      </c>
      <c r="M10" s="122">
        <v>0</v>
      </c>
      <c r="N10" s="122">
        <v>0</v>
      </c>
      <c r="O10" s="122">
        <v>0</v>
      </c>
    </row>
    <row r="11" spans="1:17" ht="24" customHeight="1" x14ac:dyDescent="0.25">
      <c r="A11" s="53">
        <v>43952</v>
      </c>
      <c r="B11" s="122"/>
      <c r="C11" s="123">
        <f t="shared" si="2"/>
        <v>0</v>
      </c>
      <c r="D11" s="123">
        <f t="shared" si="3"/>
        <v>0</v>
      </c>
      <c r="E11" s="123">
        <f t="shared" si="4"/>
        <v>400</v>
      </c>
      <c r="F11" s="123">
        <v>0</v>
      </c>
      <c r="G11" s="124">
        <f t="shared" si="5"/>
        <v>400</v>
      </c>
      <c r="H11" s="122">
        <v>0</v>
      </c>
      <c r="I11" s="122">
        <v>0</v>
      </c>
      <c r="J11" s="122">
        <v>0</v>
      </c>
      <c r="K11" s="123">
        <v>200</v>
      </c>
      <c r="L11" s="122">
        <v>0</v>
      </c>
      <c r="M11" s="122">
        <v>0</v>
      </c>
      <c r="N11" s="122">
        <v>0</v>
      </c>
      <c r="O11" s="122">
        <v>0</v>
      </c>
    </row>
    <row r="12" spans="1:17" ht="24" customHeight="1" x14ac:dyDescent="0.25">
      <c r="A12" s="53">
        <v>43983</v>
      </c>
      <c r="B12" s="122"/>
      <c r="C12" s="123">
        <f t="shared" si="2"/>
        <v>0</v>
      </c>
      <c r="D12" s="123">
        <f t="shared" si="3"/>
        <v>0</v>
      </c>
      <c r="E12" s="123">
        <f t="shared" si="4"/>
        <v>400</v>
      </c>
      <c r="F12" s="123">
        <v>0</v>
      </c>
      <c r="G12" s="124">
        <f t="shared" si="5"/>
        <v>400</v>
      </c>
      <c r="H12" s="122">
        <v>0</v>
      </c>
      <c r="I12" s="122">
        <v>0</v>
      </c>
      <c r="J12" s="122">
        <v>0</v>
      </c>
      <c r="K12" s="123">
        <v>200</v>
      </c>
      <c r="L12" s="122">
        <v>0</v>
      </c>
      <c r="M12" s="122">
        <v>0</v>
      </c>
      <c r="N12" s="122">
        <v>0</v>
      </c>
      <c r="O12" s="122">
        <v>0</v>
      </c>
    </row>
    <row r="13" spans="1:17" ht="24" customHeight="1" x14ac:dyDescent="0.25">
      <c r="A13" s="53">
        <v>44013</v>
      </c>
      <c r="B13" s="123">
        <f>MROUND((B12*1.03),100)</f>
        <v>0</v>
      </c>
      <c r="C13" s="123">
        <f t="shared" si="2"/>
        <v>0</v>
      </c>
      <c r="D13" s="123">
        <f t="shared" si="3"/>
        <v>0</v>
      </c>
      <c r="E13" s="123">
        <f t="shared" si="4"/>
        <v>400</v>
      </c>
      <c r="F13" s="123">
        <v>0</v>
      </c>
      <c r="G13" s="124">
        <f t="shared" si="5"/>
        <v>400</v>
      </c>
      <c r="H13" s="122">
        <v>0</v>
      </c>
      <c r="I13" s="122">
        <v>0</v>
      </c>
      <c r="J13" s="122">
        <v>0</v>
      </c>
      <c r="K13" s="123">
        <v>200</v>
      </c>
      <c r="L13" s="122">
        <v>0</v>
      </c>
      <c r="M13" s="122">
        <v>0</v>
      </c>
      <c r="N13" s="122">
        <v>0</v>
      </c>
      <c r="O13" s="122">
        <v>0</v>
      </c>
    </row>
    <row r="14" spans="1:17" ht="24" customHeight="1" x14ac:dyDescent="0.25">
      <c r="A14" s="53">
        <v>44044</v>
      </c>
      <c r="B14" s="122"/>
      <c r="C14" s="123">
        <f t="shared" si="2"/>
        <v>0</v>
      </c>
      <c r="D14" s="123">
        <f t="shared" si="3"/>
        <v>0</v>
      </c>
      <c r="E14" s="123">
        <f t="shared" si="4"/>
        <v>400</v>
      </c>
      <c r="F14" s="123">
        <v>0</v>
      </c>
      <c r="G14" s="124">
        <f t="shared" si="5"/>
        <v>400</v>
      </c>
      <c r="H14" s="122">
        <v>0</v>
      </c>
      <c r="I14" s="122">
        <v>0</v>
      </c>
      <c r="J14" s="122">
        <v>0</v>
      </c>
      <c r="K14" s="123">
        <v>200</v>
      </c>
      <c r="L14" s="122">
        <v>0</v>
      </c>
      <c r="M14" s="122">
        <v>0</v>
      </c>
      <c r="N14" s="122">
        <v>0</v>
      </c>
      <c r="O14" s="122">
        <v>0</v>
      </c>
      <c r="Q14" s="49">
        <f>MROUND((B11*1.03),100)</f>
        <v>0</v>
      </c>
    </row>
    <row r="15" spans="1:17" ht="24" customHeight="1" x14ac:dyDescent="0.25">
      <c r="A15" s="53">
        <v>44075</v>
      </c>
      <c r="B15" s="122"/>
      <c r="C15" s="123">
        <f t="shared" si="2"/>
        <v>0</v>
      </c>
      <c r="D15" s="123">
        <f t="shared" si="3"/>
        <v>0</v>
      </c>
      <c r="E15" s="123">
        <f t="shared" si="4"/>
        <v>400</v>
      </c>
      <c r="F15" s="123">
        <v>0</v>
      </c>
      <c r="G15" s="124">
        <f t="shared" si="5"/>
        <v>400</v>
      </c>
      <c r="H15" s="122">
        <v>0</v>
      </c>
      <c r="I15" s="122">
        <v>0</v>
      </c>
      <c r="J15" s="122">
        <v>0</v>
      </c>
      <c r="K15" s="123">
        <v>200</v>
      </c>
      <c r="L15" s="122">
        <v>0</v>
      </c>
      <c r="M15" s="122">
        <v>0</v>
      </c>
      <c r="N15" s="122">
        <v>0</v>
      </c>
      <c r="O15" s="122">
        <v>0</v>
      </c>
    </row>
    <row r="16" spans="1:17" ht="24" customHeight="1" x14ac:dyDescent="0.25">
      <c r="A16" s="53">
        <v>44105</v>
      </c>
      <c r="B16" s="122"/>
      <c r="C16" s="123">
        <f t="shared" si="2"/>
        <v>0</v>
      </c>
      <c r="D16" s="123">
        <f t="shared" si="3"/>
        <v>0</v>
      </c>
      <c r="E16" s="123">
        <f t="shared" si="4"/>
        <v>400</v>
      </c>
      <c r="F16" s="123">
        <v>0</v>
      </c>
      <c r="G16" s="124">
        <f t="shared" si="5"/>
        <v>400</v>
      </c>
      <c r="H16" s="122">
        <v>0</v>
      </c>
      <c r="I16" s="122">
        <v>0</v>
      </c>
      <c r="J16" s="122">
        <v>0</v>
      </c>
      <c r="K16" s="123">
        <v>200</v>
      </c>
      <c r="L16" s="122">
        <v>0</v>
      </c>
      <c r="M16" s="122">
        <v>0</v>
      </c>
      <c r="N16" s="122">
        <v>0</v>
      </c>
      <c r="O16" s="122">
        <v>0</v>
      </c>
    </row>
    <row r="17" spans="1:16" ht="24" customHeight="1" x14ac:dyDescent="0.25">
      <c r="A17" s="53">
        <v>44136</v>
      </c>
      <c r="B17" s="122"/>
      <c r="C17" s="123">
        <f t="shared" si="2"/>
        <v>0</v>
      </c>
      <c r="D17" s="123">
        <f t="shared" si="3"/>
        <v>0</v>
      </c>
      <c r="E17" s="123">
        <f t="shared" si="4"/>
        <v>400</v>
      </c>
      <c r="F17" s="123">
        <v>0</v>
      </c>
      <c r="G17" s="124">
        <f t="shared" si="5"/>
        <v>400</v>
      </c>
      <c r="H17" s="122">
        <v>0</v>
      </c>
      <c r="I17" s="122">
        <v>0</v>
      </c>
      <c r="J17" s="122">
        <v>0</v>
      </c>
      <c r="K17" s="123">
        <v>200</v>
      </c>
      <c r="L17" s="122">
        <v>0</v>
      </c>
      <c r="M17" s="122">
        <v>0</v>
      </c>
      <c r="N17" s="122">
        <v>0</v>
      </c>
      <c r="O17" s="122">
        <v>0</v>
      </c>
    </row>
    <row r="18" spans="1:16" ht="24" customHeight="1" x14ac:dyDescent="0.25">
      <c r="A18" s="53">
        <v>44166</v>
      </c>
      <c r="B18" s="122"/>
      <c r="C18" s="123">
        <f t="shared" si="2"/>
        <v>0</v>
      </c>
      <c r="D18" s="123">
        <f t="shared" si="3"/>
        <v>0</v>
      </c>
      <c r="E18" s="123">
        <f t="shared" si="4"/>
        <v>400</v>
      </c>
      <c r="F18" s="123">
        <v>0</v>
      </c>
      <c r="G18" s="124">
        <f t="shared" si="5"/>
        <v>400</v>
      </c>
      <c r="H18" s="122">
        <v>0</v>
      </c>
      <c r="I18" s="122">
        <v>0</v>
      </c>
      <c r="J18" s="122">
        <v>0</v>
      </c>
      <c r="K18" s="123">
        <v>200</v>
      </c>
      <c r="L18" s="122">
        <v>0</v>
      </c>
      <c r="M18" s="122">
        <v>0</v>
      </c>
      <c r="N18" s="122">
        <v>0</v>
      </c>
      <c r="O18" s="122">
        <v>0</v>
      </c>
    </row>
    <row r="19" spans="1:16" ht="24" customHeight="1" x14ac:dyDescent="0.25">
      <c r="A19" s="53">
        <v>44197</v>
      </c>
      <c r="B19" s="122"/>
      <c r="C19" s="123">
        <f t="shared" si="2"/>
        <v>0</v>
      </c>
      <c r="D19" s="123">
        <f t="shared" si="3"/>
        <v>0</v>
      </c>
      <c r="E19" s="123">
        <f t="shared" si="4"/>
        <v>400</v>
      </c>
      <c r="F19" s="123">
        <v>0</v>
      </c>
      <c r="G19" s="124">
        <f t="shared" si="5"/>
        <v>400</v>
      </c>
      <c r="H19" s="122">
        <v>0</v>
      </c>
      <c r="I19" s="122">
        <v>0</v>
      </c>
      <c r="J19" s="122">
        <v>0</v>
      </c>
      <c r="K19" s="123">
        <v>200</v>
      </c>
      <c r="L19" s="122">
        <v>0</v>
      </c>
      <c r="M19" s="122">
        <v>0</v>
      </c>
      <c r="N19" s="122">
        <v>0</v>
      </c>
      <c r="O19" s="122">
        <v>0</v>
      </c>
      <c r="P19" s="125"/>
    </row>
    <row r="20" spans="1:16" ht="24" customHeight="1" x14ac:dyDescent="0.25">
      <c r="A20" s="53">
        <v>44228</v>
      </c>
      <c r="B20" s="122"/>
      <c r="C20" s="123">
        <f t="shared" si="2"/>
        <v>0</v>
      </c>
      <c r="D20" s="123">
        <f t="shared" si="3"/>
        <v>0</v>
      </c>
      <c r="E20" s="123">
        <f t="shared" si="4"/>
        <v>400</v>
      </c>
      <c r="F20" s="123">
        <v>0</v>
      </c>
      <c r="G20" s="124">
        <f t="shared" si="5"/>
        <v>400</v>
      </c>
      <c r="H20" s="122">
        <v>0</v>
      </c>
      <c r="I20" s="122">
        <v>0</v>
      </c>
      <c r="J20" s="122">
        <v>0</v>
      </c>
      <c r="K20" s="123">
        <v>300</v>
      </c>
      <c r="L20" s="122">
        <v>0</v>
      </c>
      <c r="M20" s="122">
        <v>0</v>
      </c>
      <c r="N20" s="122">
        <v>0</v>
      </c>
      <c r="O20" s="122">
        <v>0</v>
      </c>
    </row>
    <row r="21" spans="1:16" ht="24" customHeight="1" x14ac:dyDescent="0.25">
      <c r="A21" s="54" t="s">
        <v>94</v>
      </c>
      <c r="B21" s="126">
        <v>0</v>
      </c>
      <c r="C21" s="126">
        <v>0</v>
      </c>
      <c r="D21" s="126">
        <v>0</v>
      </c>
      <c r="E21" s="122">
        <v>0</v>
      </c>
      <c r="F21" s="123">
        <v>0</v>
      </c>
      <c r="G21" s="124">
        <f t="shared" si="5"/>
        <v>0</v>
      </c>
      <c r="H21" s="122">
        <v>0</v>
      </c>
      <c r="I21" s="122">
        <v>0</v>
      </c>
      <c r="J21" s="122">
        <v>0</v>
      </c>
      <c r="K21" s="122">
        <v>0</v>
      </c>
      <c r="L21" s="122">
        <v>0</v>
      </c>
      <c r="M21" s="122">
        <v>0</v>
      </c>
      <c r="N21" s="122">
        <v>0</v>
      </c>
      <c r="O21" s="122">
        <v>0</v>
      </c>
    </row>
    <row r="22" spans="1:16" ht="24" customHeight="1" x14ac:dyDescent="0.25">
      <c r="A22" s="54" t="s">
        <v>93</v>
      </c>
      <c r="B22" s="123">
        <v>0</v>
      </c>
      <c r="C22" s="123">
        <v>0</v>
      </c>
      <c r="D22" s="122">
        <f t="shared" si="3"/>
        <v>0</v>
      </c>
      <c r="E22" s="123">
        <v>0</v>
      </c>
      <c r="F22" s="123">
        <v>0</v>
      </c>
      <c r="G22" s="124">
        <f t="shared" si="5"/>
        <v>0</v>
      </c>
      <c r="H22" s="123">
        <v>0</v>
      </c>
      <c r="I22" s="123">
        <v>0</v>
      </c>
      <c r="J22" s="122">
        <v>0</v>
      </c>
      <c r="K22" s="123">
        <v>0</v>
      </c>
      <c r="L22" s="123">
        <v>0</v>
      </c>
      <c r="M22" s="123">
        <v>0</v>
      </c>
      <c r="N22" s="123">
        <v>0</v>
      </c>
      <c r="O22" s="123">
        <v>0</v>
      </c>
    </row>
    <row r="23" spans="1:16" ht="24" customHeight="1" x14ac:dyDescent="0.25">
      <c r="A23" s="54" t="s">
        <v>69</v>
      </c>
      <c r="B23" s="122">
        <v>0</v>
      </c>
      <c r="C23" s="122">
        <v>0</v>
      </c>
      <c r="D23" s="122">
        <f t="shared" si="3"/>
        <v>0</v>
      </c>
      <c r="E23" s="122">
        <v>0</v>
      </c>
      <c r="F23" s="123">
        <v>0</v>
      </c>
      <c r="G23" s="124">
        <f t="shared" si="5"/>
        <v>0</v>
      </c>
      <c r="H23" s="122">
        <v>0</v>
      </c>
      <c r="I23" s="122">
        <v>0</v>
      </c>
      <c r="J23" s="122">
        <v>0</v>
      </c>
      <c r="K23" s="122">
        <v>0</v>
      </c>
      <c r="L23" s="122">
        <v>0</v>
      </c>
      <c r="M23" s="122">
        <v>0</v>
      </c>
      <c r="N23" s="122">
        <v>0</v>
      </c>
      <c r="O23" s="122">
        <v>0</v>
      </c>
    </row>
    <row r="24" spans="1:16" ht="24" customHeight="1" x14ac:dyDescent="0.25">
      <c r="A24" s="48" t="s">
        <v>125</v>
      </c>
      <c r="B24" s="122">
        <v>0</v>
      </c>
      <c r="C24" s="122">
        <v>0</v>
      </c>
      <c r="D24" s="122">
        <f t="shared" ref="D24" si="6">IF(($B$29=1),0,(B24*0.08))</f>
        <v>0</v>
      </c>
      <c r="E24" s="122">
        <v>0</v>
      </c>
      <c r="F24" s="123">
        <v>0</v>
      </c>
      <c r="G24" s="124">
        <f t="shared" si="5"/>
        <v>0</v>
      </c>
      <c r="H24" s="122">
        <v>0</v>
      </c>
      <c r="I24" s="122">
        <v>0</v>
      </c>
      <c r="J24" s="122">
        <v>0</v>
      </c>
      <c r="K24" s="122">
        <v>0</v>
      </c>
      <c r="L24" s="122">
        <v>0</v>
      </c>
      <c r="M24" s="122">
        <v>0</v>
      </c>
      <c r="N24" s="122">
        <v>0</v>
      </c>
      <c r="O24" s="122">
        <v>0</v>
      </c>
    </row>
    <row r="25" spans="1:16" ht="24" customHeight="1" x14ac:dyDescent="0.25">
      <c r="A25" s="131" t="s">
        <v>70</v>
      </c>
      <c r="B25" s="132">
        <f>SUM(B8:B24)</f>
        <v>0</v>
      </c>
      <c r="C25" s="132">
        <f t="shared" ref="C25:O25" si="7">SUM(C8:C24)</f>
        <v>0</v>
      </c>
      <c r="D25" s="132">
        <f t="shared" si="7"/>
        <v>0</v>
      </c>
      <c r="E25" s="132">
        <f t="shared" si="7"/>
        <v>4800</v>
      </c>
      <c r="F25" s="132">
        <f t="shared" si="7"/>
        <v>0</v>
      </c>
      <c r="G25" s="133">
        <f t="shared" si="7"/>
        <v>4800</v>
      </c>
      <c r="H25" s="132">
        <f t="shared" si="7"/>
        <v>0</v>
      </c>
      <c r="I25" s="132">
        <f t="shared" si="7"/>
        <v>0</v>
      </c>
      <c r="J25" s="132">
        <f t="shared" si="7"/>
        <v>0</v>
      </c>
      <c r="K25" s="132">
        <f t="shared" si="7"/>
        <v>2500</v>
      </c>
      <c r="L25" s="132">
        <f t="shared" si="7"/>
        <v>0</v>
      </c>
      <c r="M25" s="132">
        <f t="shared" si="7"/>
        <v>0</v>
      </c>
      <c r="N25" s="132">
        <f t="shared" si="7"/>
        <v>0</v>
      </c>
      <c r="O25" s="132">
        <f t="shared" si="7"/>
        <v>0</v>
      </c>
    </row>
    <row r="27" spans="1:16" ht="18" customHeight="1" x14ac:dyDescent="0.25">
      <c r="A27" s="49"/>
      <c r="B27" s="55"/>
      <c r="C27" s="134" t="s">
        <v>78</v>
      </c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55"/>
    </row>
    <row r="28" spans="1:16" ht="15.75" x14ac:dyDescent="0.25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</row>
    <row r="29" spans="1:16" ht="34.5" customHeight="1" x14ac:dyDescent="0.25">
      <c r="A29" s="79" t="s">
        <v>96</v>
      </c>
      <c r="B29" s="80">
        <v>0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</row>
    <row r="30" spans="1:16" ht="15.75" customHeight="1" x14ac:dyDescent="0.25">
      <c r="A30" s="55"/>
      <c r="B30" s="127"/>
      <c r="C30" s="127"/>
      <c r="D30" s="127"/>
      <c r="E30" s="127"/>
      <c r="F30" s="127"/>
      <c r="G30" s="127"/>
      <c r="H30" s="127"/>
      <c r="I30" s="139" t="s">
        <v>79</v>
      </c>
      <c r="J30" s="139"/>
      <c r="K30" s="55"/>
      <c r="M30" s="127"/>
      <c r="N30" s="127"/>
      <c r="O30" s="127"/>
    </row>
    <row r="31" spans="1:16" ht="18.75" customHeight="1" x14ac:dyDescent="0.25">
      <c r="A31" s="121" t="s">
        <v>119</v>
      </c>
      <c r="B31" s="136"/>
      <c r="C31" s="137"/>
      <c r="D31" s="127"/>
      <c r="E31" s="127"/>
      <c r="F31" s="127"/>
      <c r="G31" s="127"/>
      <c r="H31" s="127"/>
      <c r="I31" s="127"/>
      <c r="J31" s="127" t="s">
        <v>82</v>
      </c>
      <c r="K31" s="128">
        <f>B3</f>
        <v>0</v>
      </c>
      <c r="M31" s="55"/>
      <c r="N31" s="55"/>
      <c r="O31" s="55"/>
    </row>
    <row r="32" spans="1:16" ht="21" customHeight="1" x14ac:dyDescent="0.25">
      <c r="B32" s="136"/>
      <c r="C32" s="137"/>
      <c r="D32" s="127"/>
      <c r="E32" s="127"/>
      <c r="F32" s="127"/>
      <c r="G32" s="127"/>
      <c r="H32" s="127"/>
      <c r="I32" s="127"/>
      <c r="L32" s="127"/>
      <c r="M32" s="127"/>
      <c r="N32" s="127"/>
      <c r="O32" s="127"/>
    </row>
    <row r="33" spans="1:15" ht="21" customHeight="1" x14ac:dyDescent="0.25">
      <c r="A33" s="127"/>
      <c r="B33" s="136"/>
      <c r="C33" s="137"/>
      <c r="D33" s="127"/>
      <c r="E33" s="127"/>
      <c r="F33" s="127"/>
      <c r="G33" s="127"/>
      <c r="H33" s="56" t="s">
        <v>80</v>
      </c>
      <c r="I33" s="127"/>
      <c r="J33" s="127"/>
      <c r="K33" s="127"/>
      <c r="L33" s="127"/>
      <c r="M33" s="127"/>
      <c r="N33" s="127"/>
      <c r="O33" s="127"/>
    </row>
    <row r="34" spans="1:15" ht="21" customHeight="1" x14ac:dyDescent="0.25">
      <c r="A34" s="127"/>
      <c r="B34" s="138"/>
      <c r="C34" s="138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</row>
    <row r="35" spans="1:15" ht="15.75" x14ac:dyDescent="0.25"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</row>
    <row r="36" spans="1:15" ht="15.75" x14ac:dyDescent="0.25">
      <c r="A36" s="127"/>
      <c r="B36" s="127"/>
      <c r="C36" s="127"/>
      <c r="D36" s="127"/>
      <c r="E36" s="127"/>
      <c r="F36" s="127"/>
      <c r="G36" s="127"/>
      <c r="H36" s="127"/>
      <c r="I36" s="127"/>
      <c r="J36" s="127" t="s">
        <v>81</v>
      </c>
      <c r="K36" s="127"/>
      <c r="L36" s="98"/>
      <c r="M36" s="98"/>
      <c r="N36" s="98"/>
      <c r="O36" s="98"/>
    </row>
    <row r="37" spans="1:15" ht="15.75" x14ac:dyDescent="0.25">
      <c r="A37" s="127"/>
      <c r="B37" s="127"/>
      <c r="C37" s="127"/>
      <c r="D37" s="127"/>
      <c r="E37" s="127"/>
      <c r="F37" s="127"/>
      <c r="G37" s="127"/>
      <c r="H37" s="127"/>
      <c r="I37" s="127"/>
      <c r="J37" s="129" t="str">
        <f>L3</f>
        <v>GOVERNMENT COLLEGE OF ENGG., JALGAON</v>
      </c>
      <c r="K37" s="130"/>
      <c r="L37" s="129"/>
      <c r="M37" s="129"/>
      <c r="N37" s="129"/>
      <c r="O37" s="129"/>
    </row>
    <row r="43" spans="1:15" ht="23.25" customHeight="1" x14ac:dyDescent="0.25">
      <c r="A43" s="49"/>
    </row>
  </sheetData>
  <mergeCells count="21">
    <mergeCell ref="E5:F5"/>
    <mergeCell ref="H5:J5"/>
    <mergeCell ref="H6:O6"/>
    <mergeCell ref="B3:F3"/>
    <mergeCell ref="H3:J3"/>
    <mergeCell ref="C27:N27"/>
    <mergeCell ref="P1:P6"/>
    <mergeCell ref="B32:C32"/>
    <mergeCell ref="B33:C33"/>
    <mergeCell ref="B34:C34"/>
    <mergeCell ref="B31:C31"/>
    <mergeCell ref="I30:J30"/>
    <mergeCell ref="B4:F4"/>
    <mergeCell ref="H4:J4"/>
    <mergeCell ref="L4:O4"/>
    <mergeCell ref="A1:O1"/>
    <mergeCell ref="A6:A7"/>
    <mergeCell ref="L3:O3"/>
    <mergeCell ref="L5:O5"/>
    <mergeCell ref="B6:G6"/>
    <mergeCell ref="B5:C5"/>
  </mergeCells>
  <pageMargins left="0.6" right="0.21" top="0.49" bottom="0.66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59"/>
  <sheetViews>
    <sheetView tabSelected="1" view="pageBreakPreview" topLeftCell="A34" zoomScaleNormal="100" zoomScaleSheetLayoutView="100" workbookViewId="0">
      <selection activeCell="E37" sqref="E37"/>
    </sheetView>
  </sheetViews>
  <sheetFormatPr defaultRowHeight="21.95" customHeight="1" x14ac:dyDescent="0.25"/>
  <cols>
    <col min="1" max="1" width="15.42578125" style="57" customWidth="1"/>
    <col min="2" max="2" width="53.140625" style="57" customWidth="1"/>
    <col min="3" max="3" width="16.28515625" style="58" customWidth="1"/>
    <col min="4" max="4" width="16.140625" style="58" customWidth="1"/>
    <col min="5" max="5" width="18.140625" style="58" customWidth="1"/>
    <col min="6" max="6" width="3.85546875" style="57" customWidth="1"/>
    <col min="7" max="7" width="30.42578125" style="57" customWidth="1"/>
    <col min="8" max="8" width="14.140625" style="60" customWidth="1"/>
    <col min="9" max="9" width="11.85546875" style="57" customWidth="1"/>
    <col min="10" max="16384" width="9.140625" style="57"/>
  </cols>
  <sheetData>
    <row r="1" spans="1:9" ht="26.25" x14ac:dyDescent="0.25">
      <c r="A1" s="157" t="str">
        <f>STATEMENT!L3</f>
        <v>GOVERNMENT COLLEGE OF ENGG., JALGAON</v>
      </c>
      <c r="B1" s="157"/>
      <c r="C1" s="157"/>
      <c r="D1" s="157"/>
      <c r="E1" s="135" t="s">
        <v>118</v>
      </c>
    </row>
    <row r="2" spans="1:9" ht="21.95" customHeight="1" x14ac:dyDescent="0.25">
      <c r="A2" s="158" t="s">
        <v>87</v>
      </c>
      <c r="B2" s="158"/>
      <c r="C2" s="158"/>
      <c r="D2" s="158"/>
      <c r="E2" s="135"/>
      <c r="G2" s="164" t="s">
        <v>16</v>
      </c>
      <c r="H2" s="164"/>
    </row>
    <row r="3" spans="1:9" ht="30.75" customHeight="1" x14ac:dyDescent="0.25">
      <c r="A3" s="159" t="s">
        <v>86</v>
      </c>
      <c r="B3" s="159"/>
      <c r="C3" s="159"/>
      <c r="D3" s="159"/>
      <c r="E3" s="135"/>
      <c r="G3" s="155"/>
      <c r="H3" s="155"/>
    </row>
    <row r="4" spans="1:9" ht="27" customHeight="1" x14ac:dyDescent="0.25">
      <c r="A4" s="158" t="s">
        <v>19</v>
      </c>
      <c r="B4" s="158"/>
      <c r="C4" s="158"/>
      <c r="D4" s="158"/>
      <c r="E4" s="135"/>
      <c r="G4" s="113" t="s">
        <v>6</v>
      </c>
      <c r="H4" s="114">
        <f>D10+D16</f>
        <v>4800</v>
      </c>
    </row>
    <row r="5" spans="1:9" ht="21.95" customHeight="1" x14ac:dyDescent="0.25">
      <c r="A5" s="61" t="s">
        <v>45</v>
      </c>
      <c r="B5" s="163">
        <f>STATEMENT!B3</f>
        <v>0</v>
      </c>
      <c r="C5" s="163"/>
      <c r="D5" s="163"/>
      <c r="E5" s="135"/>
      <c r="G5" s="113" t="s">
        <v>7</v>
      </c>
      <c r="H5" s="115">
        <f>D12+D11+D14+D27+D39</f>
        <v>52854</v>
      </c>
      <c r="I5" s="63"/>
    </row>
    <row r="6" spans="1:9" ht="21.95" customHeight="1" x14ac:dyDescent="0.25">
      <c r="A6" s="61" t="s">
        <v>44</v>
      </c>
      <c r="B6" s="163">
        <f>STATEMENT!B4</f>
        <v>0</v>
      </c>
      <c r="C6" s="163"/>
      <c r="D6" s="163"/>
      <c r="E6" s="135"/>
      <c r="G6" s="113" t="s">
        <v>17</v>
      </c>
      <c r="H6" s="114">
        <f>D18</f>
        <v>0</v>
      </c>
    </row>
    <row r="7" spans="1:9" ht="21.95" customHeight="1" x14ac:dyDescent="0.25">
      <c r="A7" s="61" t="s">
        <v>46</v>
      </c>
      <c r="B7" s="108">
        <f>STATEMENT!B5</f>
        <v>0</v>
      </c>
      <c r="C7" s="167" t="s">
        <v>61</v>
      </c>
      <c r="D7" s="168"/>
      <c r="E7" s="62"/>
      <c r="G7" s="113" t="s">
        <v>8</v>
      </c>
      <c r="H7" s="114">
        <f>+H4-H6-H5</f>
        <v>-48054</v>
      </c>
    </row>
    <row r="8" spans="1:9" ht="18.75" x14ac:dyDescent="0.25">
      <c r="A8" s="61" t="s">
        <v>47</v>
      </c>
      <c r="B8" s="109">
        <f>STATEMENT!H4</f>
        <v>0</v>
      </c>
      <c r="C8" s="156">
        <f>STATEMENT!L4</f>
        <v>0</v>
      </c>
      <c r="D8" s="156"/>
      <c r="E8" s="62"/>
      <c r="G8" s="113" t="s">
        <v>9</v>
      </c>
      <c r="H8" s="114">
        <f>ROUND(IF(H7&lt;=250000,0,IF(H7&lt;=500000,(H7-250000)*0.05,IF(H7&lt;=1000000,(H7-500000)*0.2+12500,(H7-1000000)*0.3+112500))),0)</f>
        <v>0</v>
      </c>
    </row>
    <row r="9" spans="1:9" ht="33" x14ac:dyDescent="0.25">
      <c r="A9" s="101" t="s">
        <v>41</v>
      </c>
      <c r="B9" s="4" t="s">
        <v>0</v>
      </c>
      <c r="C9" s="8" t="s">
        <v>18</v>
      </c>
      <c r="D9" s="73" t="s">
        <v>48</v>
      </c>
      <c r="E9" s="154" t="s">
        <v>121</v>
      </c>
      <c r="G9" s="113" t="s">
        <v>10</v>
      </c>
      <c r="H9" s="114">
        <f>IF(H7&lt;=500000,MIN(H8,12500),0)</f>
        <v>0</v>
      </c>
    </row>
    <row r="10" spans="1:9" ht="28.5" customHeight="1" x14ac:dyDescent="0.25">
      <c r="A10" s="161">
        <v>1</v>
      </c>
      <c r="B10" s="5" t="s">
        <v>21</v>
      </c>
      <c r="C10" s="95">
        <f>STATEMENT!G25</f>
        <v>4800</v>
      </c>
      <c r="D10" s="41">
        <f>C10</f>
        <v>4800</v>
      </c>
      <c r="E10" s="154"/>
      <c r="G10" s="113" t="s">
        <v>11</v>
      </c>
      <c r="H10" s="114">
        <f>H8-H9</f>
        <v>0</v>
      </c>
    </row>
    <row r="11" spans="1:9" ht="24" customHeight="1" x14ac:dyDescent="0.25">
      <c r="A11" s="161"/>
      <c r="B11" s="5" t="s">
        <v>22</v>
      </c>
      <c r="C11" s="95">
        <f>MAX((MIN(J36,J40,J43)),0)</f>
        <v>0</v>
      </c>
      <c r="D11" s="41">
        <f>MAX(C11,0)</f>
        <v>0</v>
      </c>
      <c r="E11" s="107">
        <v>0</v>
      </c>
      <c r="G11" s="113" t="s">
        <v>12</v>
      </c>
      <c r="H11" s="114">
        <f>ROUND(H10*0.04,0)</f>
        <v>0</v>
      </c>
    </row>
    <row r="12" spans="1:9" ht="24" customHeight="1" x14ac:dyDescent="0.25">
      <c r="A12" s="161"/>
      <c r="B12" s="5" t="s">
        <v>52</v>
      </c>
      <c r="C12" s="95">
        <f>STATEMENT!K25</f>
        <v>2500</v>
      </c>
      <c r="D12" s="41">
        <f>C12</f>
        <v>2500</v>
      </c>
      <c r="E12" s="23"/>
      <c r="G12" s="113" t="s">
        <v>13</v>
      </c>
      <c r="H12" s="114">
        <f>SUM(H10:H11)</f>
        <v>0</v>
      </c>
    </row>
    <row r="13" spans="1:9" ht="24" customHeight="1" x14ac:dyDescent="0.25">
      <c r="A13" s="64"/>
      <c r="B13" s="10" t="s">
        <v>20</v>
      </c>
      <c r="C13" s="2"/>
      <c r="D13" s="42">
        <f>D10-D11-D12</f>
        <v>2300</v>
      </c>
      <c r="E13" s="65"/>
      <c r="G13" s="113" t="s">
        <v>14</v>
      </c>
      <c r="H13" s="114">
        <f>D47</f>
        <v>0</v>
      </c>
    </row>
    <row r="14" spans="1:9" ht="24" customHeight="1" x14ac:dyDescent="0.25">
      <c r="A14" s="101">
        <v>2</v>
      </c>
      <c r="B14" s="5" t="s">
        <v>23</v>
      </c>
      <c r="C14" s="95">
        <v>50000</v>
      </c>
      <c r="D14" s="41">
        <f>C14</f>
        <v>50000</v>
      </c>
      <c r="E14" s="23"/>
      <c r="G14" s="113" t="s">
        <v>13</v>
      </c>
      <c r="H14" s="114">
        <f>H12-H13</f>
        <v>0</v>
      </c>
    </row>
    <row r="15" spans="1:9" ht="24" customHeight="1" x14ac:dyDescent="0.25">
      <c r="A15" s="64"/>
      <c r="B15" s="10" t="s">
        <v>20</v>
      </c>
      <c r="C15" s="2"/>
      <c r="D15" s="43">
        <f>D13-D14</f>
        <v>-47700</v>
      </c>
      <c r="E15" s="66"/>
      <c r="G15" s="113" t="s">
        <v>15</v>
      </c>
      <c r="H15" s="114">
        <f>D49</f>
        <v>0</v>
      </c>
    </row>
    <row r="16" spans="1:9" ht="24" customHeight="1" x14ac:dyDescent="0.25">
      <c r="A16" s="161">
        <v>3</v>
      </c>
      <c r="B16" s="5" t="s">
        <v>24</v>
      </c>
      <c r="C16" s="2">
        <v>0</v>
      </c>
      <c r="D16" s="41">
        <f>C16</f>
        <v>0</v>
      </c>
      <c r="E16" s="23"/>
      <c r="G16" s="113" t="s">
        <v>122</v>
      </c>
      <c r="H16" s="116">
        <f>+H14-H15</f>
        <v>0</v>
      </c>
    </row>
    <row r="17" spans="1:8" ht="24" customHeight="1" x14ac:dyDescent="0.25">
      <c r="A17" s="161"/>
      <c r="B17" s="5" t="s">
        <v>25</v>
      </c>
      <c r="C17" s="2">
        <v>0</v>
      </c>
      <c r="D17" s="41">
        <f t="shared" ref="D17" si="0">C17</f>
        <v>0</v>
      </c>
      <c r="E17" s="23"/>
    </row>
    <row r="18" spans="1:8" ht="24" customHeight="1" x14ac:dyDescent="0.25">
      <c r="A18" s="161"/>
      <c r="B18" s="5" t="s">
        <v>26</v>
      </c>
      <c r="C18" s="2">
        <v>0</v>
      </c>
      <c r="D18" s="41">
        <f>IF((C18&lt;200000),(C18),200000)</f>
        <v>0</v>
      </c>
      <c r="E18" s="23"/>
      <c r="G18" s="166" t="s">
        <v>5</v>
      </c>
      <c r="H18" s="166"/>
    </row>
    <row r="19" spans="1:8" ht="24" customHeight="1" x14ac:dyDescent="0.25">
      <c r="A19" s="64"/>
      <c r="B19" s="10" t="s">
        <v>20</v>
      </c>
      <c r="C19" s="2"/>
      <c r="D19" s="45">
        <f>D15+D16+D17-D18</f>
        <v>-47700</v>
      </c>
      <c r="E19" s="67"/>
      <c r="G19" s="165"/>
      <c r="H19" s="165"/>
    </row>
    <row r="20" spans="1:8" ht="24" customHeight="1" x14ac:dyDescent="0.25">
      <c r="A20" s="161">
        <v>4</v>
      </c>
      <c r="B20" s="5" t="s">
        <v>50</v>
      </c>
      <c r="C20" s="95">
        <v>0</v>
      </c>
      <c r="D20" s="41">
        <f>C20</f>
        <v>0</v>
      </c>
      <c r="E20" s="23"/>
      <c r="G20" s="28" t="s">
        <v>6</v>
      </c>
      <c r="H20" s="29">
        <f>D10+D16</f>
        <v>4800</v>
      </c>
    </row>
    <row r="21" spans="1:8" ht="24" customHeight="1" x14ac:dyDescent="0.25">
      <c r="A21" s="161"/>
      <c r="B21" s="5" t="s">
        <v>33</v>
      </c>
      <c r="C21" s="95">
        <f>STATEMENT!F25</f>
        <v>0</v>
      </c>
      <c r="D21" s="74">
        <f>IF(C21&gt;=(D10*10%),MIN(D10*10%),0) +IF(C21&lt;=(D10*10%),MIN(C21),0)</f>
        <v>0</v>
      </c>
      <c r="E21" s="25"/>
      <c r="G21" s="28" t="s">
        <v>7</v>
      </c>
      <c r="H21" s="68">
        <v>0</v>
      </c>
    </row>
    <row r="22" spans="1:8" ht="24" customHeight="1" x14ac:dyDescent="0.25">
      <c r="A22" s="161"/>
      <c r="B22" s="5" t="s">
        <v>53</v>
      </c>
      <c r="C22" s="2">
        <v>0</v>
      </c>
      <c r="D22" s="41">
        <f>IF((C22&lt;25000),(C22),25000)</f>
        <v>0</v>
      </c>
      <c r="E22" s="23"/>
      <c r="G22" s="28" t="s">
        <v>43</v>
      </c>
      <c r="H22" s="29">
        <f>D21</f>
        <v>0</v>
      </c>
    </row>
    <row r="23" spans="1:8" ht="24" customHeight="1" x14ac:dyDescent="0.25">
      <c r="A23" s="161"/>
      <c r="B23" s="5" t="s">
        <v>54</v>
      </c>
      <c r="C23" s="2">
        <v>0</v>
      </c>
      <c r="D23" s="41">
        <f t="shared" ref="D23:D26" si="1">C23</f>
        <v>0</v>
      </c>
      <c r="E23" s="23"/>
      <c r="G23" s="28" t="s">
        <v>8</v>
      </c>
      <c r="H23" s="29">
        <f>+H20-H21-H22</f>
        <v>4800</v>
      </c>
    </row>
    <row r="24" spans="1:8" ht="24" customHeight="1" x14ac:dyDescent="0.25">
      <c r="A24" s="161"/>
      <c r="B24" s="5" t="s">
        <v>55</v>
      </c>
      <c r="C24" s="2">
        <v>0</v>
      </c>
      <c r="D24" s="41">
        <f t="shared" ref="D24" si="2">C24</f>
        <v>0</v>
      </c>
      <c r="E24" s="23"/>
      <c r="G24" s="28" t="s">
        <v>9</v>
      </c>
      <c r="H24" s="33">
        <f>ROUND(IF(H23&lt;=250000,0,IF(H23&lt;=500000,(H23-250000)*0.05,IF(H23&lt;=750000,(H23-500000)*0.1+12500,IF(H23&lt;=1000000,(H23-750000)*0.15+37500,IF(H23&lt;=1250000,(H23-1000000)*0.2+75000,IF(H23&lt;=1500000,(H23-1250000)*0.25+125000,(H23-1500000)*0.3+187500)))))),0)</f>
        <v>0</v>
      </c>
    </row>
    <row r="25" spans="1:8" ht="24" customHeight="1" x14ac:dyDescent="0.25">
      <c r="A25" s="161"/>
      <c r="B25" s="5" t="s">
        <v>56</v>
      </c>
      <c r="C25" s="2">
        <v>0</v>
      </c>
      <c r="D25" s="41">
        <f>IF((C25&lt;10000),(C25),10000)</f>
        <v>0</v>
      </c>
      <c r="E25" s="23"/>
      <c r="G25" s="28" t="s">
        <v>10</v>
      </c>
      <c r="H25" s="33">
        <f>IF(H23&lt;=500000,MIN(H24,12500),0)</f>
        <v>0</v>
      </c>
    </row>
    <row r="26" spans="1:8" ht="24" customHeight="1" x14ac:dyDescent="0.25">
      <c r="A26" s="161"/>
      <c r="B26" s="5" t="s">
        <v>57</v>
      </c>
      <c r="C26" s="2">
        <v>0</v>
      </c>
      <c r="D26" s="41">
        <f t="shared" si="1"/>
        <v>0</v>
      </c>
      <c r="E26" s="23"/>
      <c r="G26" s="28" t="s">
        <v>11</v>
      </c>
      <c r="H26" s="33">
        <f>H24-H25</f>
        <v>0</v>
      </c>
    </row>
    <row r="27" spans="1:8" ht="24" customHeight="1" x14ac:dyDescent="0.25">
      <c r="A27" s="161"/>
      <c r="B27" s="10" t="s">
        <v>32</v>
      </c>
      <c r="C27" s="2"/>
      <c r="D27" s="46">
        <f>SUM(D20:D26)</f>
        <v>0</v>
      </c>
      <c r="E27" s="69"/>
      <c r="G27" s="28" t="s">
        <v>12</v>
      </c>
      <c r="H27" s="33">
        <f>ROUND(H26*0.04,0)</f>
        <v>0</v>
      </c>
    </row>
    <row r="28" spans="1:8" ht="24" customHeight="1" x14ac:dyDescent="0.25">
      <c r="A28" s="161">
        <v>5</v>
      </c>
      <c r="B28" s="7" t="s">
        <v>1</v>
      </c>
      <c r="C28" s="2"/>
      <c r="D28" s="41"/>
      <c r="E28" s="23"/>
      <c r="G28" s="28" t="s">
        <v>13</v>
      </c>
      <c r="H28" s="33">
        <f>H26+H27</f>
        <v>0</v>
      </c>
    </row>
    <row r="29" spans="1:8" ht="24" customHeight="1" x14ac:dyDescent="0.25">
      <c r="A29" s="161"/>
      <c r="B29" s="5" t="s">
        <v>34</v>
      </c>
      <c r="C29" s="95">
        <f>STATEMENT!H25</f>
        <v>0</v>
      </c>
      <c r="D29" s="41">
        <f>C29</f>
        <v>0</v>
      </c>
      <c r="E29" s="23"/>
      <c r="G29" s="28" t="s">
        <v>14</v>
      </c>
      <c r="H29" s="33">
        <f>D47</f>
        <v>0</v>
      </c>
    </row>
    <row r="30" spans="1:8" ht="24" customHeight="1" x14ac:dyDescent="0.25">
      <c r="A30" s="161"/>
      <c r="B30" s="5" t="s">
        <v>116</v>
      </c>
      <c r="C30" s="95">
        <f>STATEMENT!N25</f>
        <v>0</v>
      </c>
      <c r="D30" s="41">
        <f t="shared" ref="D30:D38" si="3">C30</f>
        <v>0</v>
      </c>
      <c r="E30" s="23"/>
      <c r="G30" s="28" t="s">
        <v>13</v>
      </c>
      <c r="H30" s="33">
        <f>H28-H29</f>
        <v>0</v>
      </c>
    </row>
    <row r="31" spans="1:8" ht="24" customHeight="1" x14ac:dyDescent="0.25">
      <c r="A31" s="161"/>
      <c r="B31" s="5" t="s">
        <v>117</v>
      </c>
      <c r="C31" s="2">
        <v>0</v>
      </c>
      <c r="D31" s="41">
        <f t="shared" ref="D31" si="4">C31</f>
        <v>0</v>
      </c>
      <c r="E31" s="23"/>
      <c r="G31" s="28" t="s">
        <v>15</v>
      </c>
      <c r="H31" s="33">
        <f>D49</f>
        <v>0</v>
      </c>
    </row>
    <row r="32" spans="1:8" ht="24" customHeight="1" x14ac:dyDescent="0.25">
      <c r="A32" s="161"/>
      <c r="B32" s="5" t="s">
        <v>126</v>
      </c>
      <c r="C32" s="2">
        <f>STATEMENT!L25</f>
        <v>0</v>
      </c>
      <c r="D32" s="41">
        <f>C32</f>
        <v>0</v>
      </c>
      <c r="E32" s="23"/>
      <c r="G32" s="112" t="s">
        <v>122</v>
      </c>
      <c r="H32" s="70">
        <f>+H30-H31</f>
        <v>0</v>
      </c>
    </row>
    <row r="33" spans="1:10" ht="24" customHeight="1" x14ac:dyDescent="0.25">
      <c r="A33" s="161"/>
      <c r="B33" s="5" t="s">
        <v>27</v>
      </c>
      <c r="C33" s="2">
        <v>0</v>
      </c>
      <c r="D33" s="41">
        <f>C33</f>
        <v>0</v>
      </c>
      <c r="E33" s="23"/>
      <c r="G33" s="96"/>
      <c r="H33" s="97"/>
    </row>
    <row r="34" spans="1:10" ht="24" customHeight="1" thickBot="1" x14ac:dyDescent="0.3">
      <c r="A34" s="161"/>
      <c r="B34" s="5" t="s">
        <v>127</v>
      </c>
      <c r="C34" s="2">
        <v>0</v>
      </c>
      <c r="D34" s="41">
        <f t="shared" si="3"/>
        <v>0</v>
      </c>
      <c r="E34" s="23"/>
      <c r="H34" s="57"/>
    </row>
    <row r="35" spans="1:10" ht="24" customHeight="1" x14ac:dyDescent="0.25">
      <c r="A35" s="161"/>
      <c r="B35" s="5" t="s">
        <v>90</v>
      </c>
      <c r="C35" s="95">
        <f>STATEMENT!I25</f>
        <v>0</v>
      </c>
      <c r="D35" s="41">
        <f t="shared" si="3"/>
        <v>0</v>
      </c>
      <c r="E35" s="23"/>
      <c r="G35" s="180" t="s">
        <v>113</v>
      </c>
      <c r="H35" s="181"/>
      <c r="I35" s="181"/>
      <c r="J35" s="182"/>
    </row>
    <row r="36" spans="1:10" ht="24" customHeight="1" x14ac:dyDescent="0.25">
      <c r="A36" s="161"/>
      <c r="B36" s="5" t="s">
        <v>28</v>
      </c>
      <c r="C36" s="2">
        <v>0</v>
      </c>
      <c r="D36" s="41">
        <f t="shared" si="3"/>
        <v>0</v>
      </c>
      <c r="E36" s="23"/>
      <c r="G36" s="86" t="s">
        <v>107</v>
      </c>
      <c r="H36" s="84"/>
      <c r="I36" s="85"/>
      <c r="J36" s="179">
        <f>STATEMENT!D25</f>
        <v>0</v>
      </c>
    </row>
    <row r="37" spans="1:10" ht="24" customHeight="1" x14ac:dyDescent="0.25">
      <c r="A37" s="161"/>
      <c r="B37" s="5" t="s">
        <v>29</v>
      </c>
      <c r="C37" s="2">
        <v>0</v>
      </c>
      <c r="D37" s="41">
        <f t="shared" si="3"/>
        <v>0</v>
      </c>
      <c r="E37" s="23"/>
      <c r="G37" s="89" t="s">
        <v>110</v>
      </c>
      <c r="H37" s="106">
        <f>E11</f>
        <v>0</v>
      </c>
      <c r="I37" s="85">
        <v>12</v>
      </c>
      <c r="J37" s="90">
        <f>I37*H37</f>
        <v>0</v>
      </c>
    </row>
    <row r="38" spans="1:10" ht="24" customHeight="1" x14ac:dyDescent="0.25">
      <c r="A38" s="161"/>
      <c r="B38" s="5" t="s">
        <v>30</v>
      </c>
      <c r="C38" s="2">
        <v>354</v>
      </c>
      <c r="D38" s="41">
        <f t="shared" si="3"/>
        <v>354</v>
      </c>
      <c r="E38" s="23"/>
      <c r="G38" s="89" t="s">
        <v>108</v>
      </c>
      <c r="H38" s="84">
        <f>STATEMENT!B25</f>
        <v>0</v>
      </c>
      <c r="I38" s="85"/>
      <c r="J38" s="87"/>
    </row>
    <row r="39" spans="1:10" ht="24" customHeight="1" x14ac:dyDescent="0.25">
      <c r="A39" s="161"/>
      <c r="B39" s="6" t="s">
        <v>31</v>
      </c>
      <c r="C39" s="2">
        <f>SUM(C29:C38)</f>
        <v>354</v>
      </c>
      <c r="D39" s="42">
        <f>MIN(C39,150000)</f>
        <v>354</v>
      </c>
      <c r="E39" s="65"/>
      <c r="G39" s="89" t="s">
        <v>109</v>
      </c>
      <c r="H39" s="84">
        <f>STATEMENT!C25</f>
        <v>0</v>
      </c>
      <c r="I39" s="85"/>
      <c r="J39" s="87"/>
    </row>
    <row r="40" spans="1:10" ht="24" customHeight="1" x14ac:dyDescent="0.25">
      <c r="A40" s="161">
        <v>5</v>
      </c>
      <c r="B40" s="5" t="s">
        <v>35</v>
      </c>
      <c r="C40" s="2"/>
      <c r="D40" s="41">
        <f>D19-D27-D39</f>
        <v>-48054</v>
      </c>
      <c r="E40" s="23"/>
      <c r="G40" s="89" t="s">
        <v>132</v>
      </c>
      <c r="H40" s="84">
        <f>(SUM(H38:H39))*0.1</f>
        <v>0</v>
      </c>
      <c r="I40" s="84"/>
      <c r="J40" s="179">
        <f>J37-H40</f>
        <v>0</v>
      </c>
    </row>
    <row r="41" spans="1:10" ht="24" customHeight="1" x14ac:dyDescent="0.25">
      <c r="A41" s="161"/>
      <c r="B41" s="5" t="s">
        <v>36</v>
      </c>
      <c r="C41" s="2"/>
      <c r="D41" s="41">
        <f>ROUND(D40,-1)</f>
        <v>-48050</v>
      </c>
      <c r="E41" s="23"/>
      <c r="G41" s="88"/>
      <c r="H41" s="94" t="s">
        <v>112</v>
      </c>
      <c r="I41" s="94" t="s">
        <v>114</v>
      </c>
      <c r="J41" s="183" t="s">
        <v>70</v>
      </c>
    </row>
    <row r="42" spans="1:10" ht="24" customHeight="1" x14ac:dyDescent="0.25">
      <c r="A42" s="161"/>
      <c r="B42" s="5" t="s">
        <v>37</v>
      </c>
      <c r="C42" s="2"/>
      <c r="D42" s="41">
        <f>ROUND(IF(D41&lt;=250000,0,IF(D41&lt;=500000,(D41-250000)*0.05,IF(D41&lt;=1000000,(D41-500000)*0.2+12500,(D41-1000000)*0.3+112500))),0)</f>
        <v>0</v>
      </c>
      <c r="E42" s="23"/>
      <c r="G42" s="184"/>
      <c r="H42" s="178"/>
      <c r="I42" s="64"/>
      <c r="J42" s="185"/>
    </row>
    <row r="43" spans="1:10" ht="24" customHeight="1" x14ac:dyDescent="0.25">
      <c r="A43" s="161"/>
      <c r="B43" s="5" t="s">
        <v>3</v>
      </c>
      <c r="C43" s="2"/>
      <c r="D43" s="41">
        <f>IF(D41&lt;=500000,MIN(D42,12500),0)</f>
        <v>0</v>
      </c>
      <c r="E43" s="23"/>
      <c r="G43" s="89" t="s">
        <v>111</v>
      </c>
      <c r="H43" s="84">
        <f>H38+H39</f>
        <v>0</v>
      </c>
      <c r="I43" s="84"/>
      <c r="J43" s="179">
        <f>H43*40%</f>
        <v>0</v>
      </c>
    </row>
    <row r="44" spans="1:10" ht="24" customHeight="1" thickBot="1" x14ac:dyDescent="0.3">
      <c r="A44" s="161"/>
      <c r="B44" s="5" t="s">
        <v>2</v>
      </c>
      <c r="C44" s="2"/>
      <c r="D44" s="41">
        <f>D42-D43</f>
        <v>0</v>
      </c>
      <c r="E44" s="23"/>
      <c r="G44" s="91"/>
      <c r="H44" s="92"/>
      <c r="I44" s="92"/>
      <c r="J44" s="93"/>
    </row>
    <row r="45" spans="1:10" ht="24" customHeight="1" x14ac:dyDescent="0.25">
      <c r="A45" s="161"/>
      <c r="B45" s="5" t="s">
        <v>4</v>
      </c>
      <c r="C45" s="2"/>
      <c r="D45" s="41">
        <f>ROUND(D44*0.04,0)</f>
        <v>0</v>
      </c>
      <c r="E45" s="23"/>
    </row>
    <row r="46" spans="1:10" ht="24" customHeight="1" x14ac:dyDescent="0.25">
      <c r="A46" s="161"/>
      <c r="B46" s="5" t="s">
        <v>39</v>
      </c>
      <c r="C46" s="2"/>
      <c r="D46" s="47">
        <f>D44+D45</f>
        <v>0</v>
      </c>
      <c r="E46" s="71"/>
    </row>
    <row r="47" spans="1:10" ht="24" customHeight="1" x14ac:dyDescent="0.25">
      <c r="A47" s="161"/>
      <c r="B47" s="5" t="s">
        <v>49</v>
      </c>
      <c r="C47" s="2">
        <v>0</v>
      </c>
      <c r="D47" s="41">
        <f>C47</f>
        <v>0</v>
      </c>
      <c r="E47" s="23"/>
    </row>
    <row r="48" spans="1:10" ht="24" customHeight="1" x14ac:dyDescent="0.25">
      <c r="A48" s="161">
        <v>6</v>
      </c>
      <c r="B48" s="6" t="s">
        <v>38</v>
      </c>
      <c r="C48" s="2"/>
      <c r="D48" s="105">
        <f>ROUNDUP((D46-D47),-1)</f>
        <v>0</v>
      </c>
      <c r="E48" s="71"/>
    </row>
    <row r="49" spans="1:5" ht="24" customHeight="1" x14ac:dyDescent="0.25">
      <c r="A49" s="161"/>
      <c r="B49" s="5" t="s">
        <v>51</v>
      </c>
      <c r="C49" s="2"/>
      <c r="D49" s="41">
        <f>SUM(STATEMENT!J8:J19)+SUM(STATEMENT!J21:J23)</f>
        <v>0</v>
      </c>
      <c r="E49" s="23"/>
    </row>
    <row r="50" spans="1:5" ht="24" customHeight="1" x14ac:dyDescent="0.25">
      <c r="A50" s="161"/>
      <c r="B50" s="6" t="s">
        <v>40</v>
      </c>
      <c r="C50" s="2"/>
      <c r="D50" s="105">
        <f>MAX((D48-D49),0)</f>
        <v>0</v>
      </c>
      <c r="E50" s="71"/>
    </row>
    <row r="51" spans="1:5" ht="27" customHeight="1" x14ac:dyDescent="0.25">
      <c r="D51" s="75"/>
    </row>
    <row r="52" spans="1:5" ht="37.5" customHeight="1" x14ac:dyDescent="0.25">
      <c r="A52" s="162" t="s">
        <v>83</v>
      </c>
      <c r="B52" s="162"/>
      <c r="C52" s="162"/>
      <c r="D52" s="76"/>
      <c r="E52" s="103"/>
    </row>
    <row r="53" spans="1:5" ht="36" customHeight="1" x14ac:dyDescent="0.25">
      <c r="A53" s="59"/>
      <c r="D53" s="77"/>
      <c r="E53" s="59"/>
    </row>
    <row r="54" spans="1:5" ht="25.5" customHeight="1" x14ac:dyDescent="0.25">
      <c r="A54" s="59"/>
      <c r="B54" s="160" t="s">
        <v>123</v>
      </c>
      <c r="C54" s="160"/>
      <c r="D54" s="77"/>
      <c r="E54" s="59"/>
    </row>
    <row r="55" spans="1:5" ht="34.5" customHeight="1" x14ac:dyDescent="0.25">
      <c r="A55" s="59"/>
      <c r="D55" s="77"/>
      <c r="E55" s="100"/>
    </row>
    <row r="56" spans="1:5" ht="25.5" customHeight="1" x14ac:dyDescent="0.25">
      <c r="A56" s="72"/>
      <c r="B56" s="100" t="s">
        <v>124</v>
      </c>
      <c r="C56" s="59"/>
      <c r="D56" s="77"/>
      <c r="E56" s="59"/>
    </row>
    <row r="57" spans="1:5" ht="25.5" customHeight="1" x14ac:dyDescent="0.25">
      <c r="A57" s="59"/>
      <c r="B57" s="120" t="str">
        <f>STATEMENT!L3</f>
        <v>GOVERNMENT COLLEGE OF ENGG., JALGAON</v>
      </c>
      <c r="D57" s="78" t="s">
        <v>84</v>
      </c>
    </row>
    <row r="58" spans="1:5" ht="21.95" customHeight="1" x14ac:dyDescent="0.25">
      <c r="A58" s="72"/>
      <c r="C58" s="59"/>
      <c r="D58" s="59"/>
      <c r="E58" s="59"/>
    </row>
    <row r="59" spans="1:5" ht="21.95" customHeight="1" x14ac:dyDescent="0.25">
      <c r="A59" s="59"/>
      <c r="C59" s="59"/>
      <c r="D59" s="59"/>
      <c r="E59" s="59"/>
    </row>
  </sheetData>
  <mergeCells count="23">
    <mergeCell ref="G35:J35"/>
    <mergeCell ref="E1:E6"/>
    <mergeCell ref="B54:C54"/>
    <mergeCell ref="A10:A12"/>
    <mergeCell ref="A16:A18"/>
    <mergeCell ref="A28:A39"/>
    <mergeCell ref="A20:A27"/>
    <mergeCell ref="A40:A47"/>
    <mergeCell ref="A48:A50"/>
    <mergeCell ref="A52:C52"/>
    <mergeCell ref="B5:D5"/>
    <mergeCell ref="B6:D6"/>
    <mergeCell ref="G2:H2"/>
    <mergeCell ref="G19:H19"/>
    <mergeCell ref="G18:H18"/>
    <mergeCell ref="C7:D7"/>
    <mergeCell ref="E9:E10"/>
    <mergeCell ref="G3:H3"/>
    <mergeCell ref="C8:D8"/>
    <mergeCell ref="A1:D1"/>
    <mergeCell ref="A2:D2"/>
    <mergeCell ref="A3:D3"/>
    <mergeCell ref="A4:D4"/>
  </mergeCells>
  <printOptions horizontalCentered="1"/>
  <pageMargins left="0.74803149606299213" right="0.39370078740157483" top="0.55118110236220474" bottom="0.31496062992125984" header="0.31496062992125984" footer="0.11811023622047245"/>
  <pageSetup paperSize="9" scale="85" orientation="portrait" r:id="rId1"/>
  <rowBreaks count="1" manualBreakCount="1">
    <brk id="39" max="16383" man="1"/>
  </rowBreaks>
  <colBreaks count="1" manualBreakCount="1">
    <brk id="5" max="1048575" man="1"/>
  </colBreaks>
  <ignoredErrors>
    <ignoredError sqref="D34:D38 D20 D26 D16:D17 D23 D29:D30" unlockedFormula="1"/>
    <ignoredError sqref="D21" formula="1" unlockedFormula="1"/>
    <ignoredError sqref="D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58"/>
  <sheetViews>
    <sheetView view="pageBreakPreview" topLeftCell="A25" zoomScale="130" zoomScaleNormal="100" zoomScaleSheetLayoutView="130" workbookViewId="0">
      <selection activeCell="E31" sqref="E31"/>
    </sheetView>
  </sheetViews>
  <sheetFormatPr defaultRowHeight="21.95" customHeight="1" x14ac:dyDescent="0.25"/>
  <cols>
    <col min="1" max="1" width="15.42578125" style="1" customWidth="1"/>
    <col min="2" max="2" width="52.42578125" style="1" customWidth="1"/>
    <col min="3" max="3" width="17" style="3" customWidth="1"/>
    <col min="4" max="4" width="16.5703125" style="3" customWidth="1"/>
    <col min="5" max="5" width="15" style="3" customWidth="1"/>
    <col min="6" max="6" width="6.85546875" style="1" hidden="1" customWidth="1"/>
    <col min="7" max="7" width="32.7109375" style="1" hidden="1" customWidth="1"/>
    <col min="8" max="8" width="14.140625" style="9" hidden="1" customWidth="1"/>
    <col min="9" max="9" width="0" style="1" hidden="1" customWidth="1"/>
    <col min="10" max="16384" width="9.140625" style="1"/>
  </cols>
  <sheetData>
    <row r="1" spans="1:9" ht="26.25" x14ac:dyDescent="0.25">
      <c r="A1" s="174" t="s">
        <v>42</v>
      </c>
      <c r="B1" s="174"/>
      <c r="C1" s="174"/>
      <c r="D1" s="174"/>
      <c r="E1" s="135" t="s">
        <v>118</v>
      </c>
    </row>
    <row r="2" spans="1:9" ht="21.95" customHeight="1" x14ac:dyDescent="0.25">
      <c r="A2" s="173" t="s">
        <v>89</v>
      </c>
      <c r="B2" s="173"/>
      <c r="C2" s="173"/>
      <c r="D2" s="173"/>
      <c r="E2" s="135"/>
      <c r="G2" s="175"/>
      <c r="H2" s="175"/>
    </row>
    <row r="3" spans="1:9" ht="36.75" customHeight="1" x14ac:dyDescent="0.25">
      <c r="A3" s="176" t="s">
        <v>86</v>
      </c>
      <c r="B3" s="176"/>
      <c r="C3" s="176"/>
      <c r="D3" s="176"/>
      <c r="E3" s="135"/>
      <c r="G3" s="177"/>
      <c r="H3" s="177"/>
    </row>
    <row r="4" spans="1:9" ht="27" customHeight="1" x14ac:dyDescent="0.25">
      <c r="A4" s="173" t="s">
        <v>19</v>
      </c>
      <c r="B4" s="173"/>
      <c r="C4" s="173"/>
      <c r="D4" s="173"/>
      <c r="E4" s="135"/>
      <c r="G4" s="35"/>
      <c r="H4" s="36"/>
    </row>
    <row r="5" spans="1:9" ht="21.95" customHeight="1" x14ac:dyDescent="0.25">
      <c r="A5" s="12" t="s">
        <v>104</v>
      </c>
      <c r="B5" s="170">
        <f>STATEMENT!B3</f>
        <v>0</v>
      </c>
      <c r="C5" s="170"/>
      <c r="D5" s="170"/>
      <c r="E5" s="135"/>
      <c r="G5" s="35"/>
      <c r="H5" s="37"/>
      <c r="I5" s="13"/>
    </row>
    <row r="6" spans="1:9" ht="21.95" customHeight="1" x14ac:dyDescent="0.25">
      <c r="A6" s="12" t="s">
        <v>101</v>
      </c>
      <c r="B6" s="170">
        <f>STATEMENT!B4</f>
        <v>0</v>
      </c>
      <c r="C6" s="170"/>
      <c r="D6" s="170"/>
      <c r="E6" s="135"/>
      <c r="G6" s="35"/>
      <c r="H6" s="38"/>
    </row>
    <row r="7" spans="1:9" ht="21.95" customHeight="1" x14ac:dyDescent="0.25">
      <c r="A7" s="12" t="s">
        <v>103</v>
      </c>
      <c r="B7" s="110">
        <f>STATEMENT!B5</f>
        <v>0</v>
      </c>
      <c r="C7" s="167" t="s">
        <v>61</v>
      </c>
      <c r="D7" s="168"/>
      <c r="E7" s="18"/>
      <c r="G7" s="35"/>
      <c r="H7" s="38"/>
    </row>
    <row r="8" spans="1:9" ht="18.75" x14ac:dyDescent="0.25">
      <c r="A8" s="12" t="s">
        <v>102</v>
      </c>
      <c r="B8" s="111">
        <f>STATEMENT!H4</f>
        <v>0</v>
      </c>
      <c r="C8" s="171">
        <f>STATEMENT!L4</f>
        <v>0</v>
      </c>
      <c r="D8" s="172"/>
      <c r="E8" s="18"/>
      <c r="G8" s="35"/>
      <c r="H8" s="38"/>
    </row>
    <row r="9" spans="1:9" ht="33" x14ac:dyDescent="0.25">
      <c r="A9" s="102" t="s">
        <v>41</v>
      </c>
      <c r="B9" s="4" t="s">
        <v>0</v>
      </c>
      <c r="C9" s="8" t="s">
        <v>18</v>
      </c>
      <c r="D9" s="40" t="s">
        <v>48</v>
      </c>
      <c r="E9" s="19"/>
      <c r="G9" s="35"/>
      <c r="H9" s="38"/>
    </row>
    <row r="10" spans="1:9" ht="24" customHeight="1" x14ac:dyDescent="0.25">
      <c r="A10" s="81">
        <v>1</v>
      </c>
      <c r="B10" s="5" t="s">
        <v>21</v>
      </c>
      <c r="C10" s="95">
        <f>STATEMENT!G25</f>
        <v>4800</v>
      </c>
      <c r="D10" s="41">
        <f>C10</f>
        <v>4800</v>
      </c>
      <c r="E10" s="20"/>
      <c r="G10" s="35"/>
      <c r="H10" s="38"/>
    </row>
    <row r="11" spans="1:9" ht="24" customHeight="1" x14ac:dyDescent="0.25">
      <c r="A11" s="82"/>
      <c r="B11" s="5" t="s">
        <v>98</v>
      </c>
      <c r="C11" s="2">
        <v>0</v>
      </c>
      <c r="D11" s="41">
        <f>C11</f>
        <v>0</v>
      </c>
      <c r="E11" s="20"/>
      <c r="G11" s="35"/>
      <c r="H11" s="38"/>
    </row>
    <row r="12" spans="1:9" ht="24" customHeight="1" x14ac:dyDescent="0.25">
      <c r="A12" s="83"/>
      <c r="B12" s="5" t="s">
        <v>99</v>
      </c>
      <c r="C12" s="2">
        <v>0</v>
      </c>
      <c r="D12" s="41">
        <f>C12</f>
        <v>0</v>
      </c>
      <c r="E12" s="20"/>
      <c r="G12" s="35"/>
      <c r="H12" s="38"/>
    </row>
    <row r="13" spans="1:9" ht="24" customHeight="1" x14ac:dyDescent="0.25">
      <c r="A13" s="11"/>
      <c r="B13" s="10" t="s">
        <v>20</v>
      </c>
      <c r="C13" s="2"/>
      <c r="D13" s="42">
        <f>D10+D11+D12</f>
        <v>4800</v>
      </c>
      <c r="E13" s="21"/>
      <c r="G13" s="35"/>
      <c r="H13" s="36"/>
    </row>
    <row r="14" spans="1:9" ht="24" customHeight="1" x14ac:dyDescent="0.25">
      <c r="A14" s="102">
        <v>2</v>
      </c>
      <c r="B14" s="5" t="s">
        <v>100</v>
      </c>
      <c r="C14" s="95">
        <f>STATEMENT!F25</f>
        <v>0</v>
      </c>
      <c r="D14" s="41">
        <f>C14</f>
        <v>0</v>
      </c>
      <c r="E14" s="20"/>
      <c r="G14" s="35"/>
      <c r="H14" s="38"/>
    </row>
    <row r="15" spans="1:9" ht="24" customHeight="1" x14ac:dyDescent="0.25">
      <c r="A15" s="169">
        <v>5</v>
      </c>
      <c r="B15" s="5" t="s">
        <v>35</v>
      </c>
      <c r="C15" s="2"/>
      <c r="D15" s="41">
        <f>D13-D14</f>
        <v>4800</v>
      </c>
      <c r="E15" s="22"/>
      <c r="G15" s="35"/>
      <c r="H15" s="38"/>
    </row>
    <row r="16" spans="1:9" ht="24" customHeight="1" x14ac:dyDescent="0.25">
      <c r="A16" s="169"/>
      <c r="B16" s="5" t="s">
        <v>36</v>
      </c>
      <c r="C16" s="2"/>
      <c r="D16" s="41">
        <f>ROUND(D15,-1)</f>
        <v>4800</v>
      </c>
      <c r="E16" s="23"/>
      <c r="G16" s="35"/>
      <c r="H16" s="39"/>
    </row>
    <row r="17" spans="1:8" ht="24" customHeight="1" x14ac:dyDescent="0.25">
      <c r="A17" s="169"/>
      <c r="B17" s="5" t="s">
        <v>37</v>
      </c>
      <c r="C17" s="2"/>
      <c r="D17" s="41">
        <f>ROUND(IF(H23&lt;=250000,0,IF(H23&lt;=500000,(H23-250000)*0.05,IF(H23&lt;=750000,(H23-500000)*0.1+12500,IF(H23&lt;=1000000,(H23-750000)*0.15+37500,IF(H23&lt;=1250000,(H23-1000000)*0.2+75000,IF(H23&lt;=1500000,(H23-1250000)*0.25+125000,(H23-1500000)*0.3+187500)))))),0)</f>
        <v>0</v>
      </c>
      <c r="E17" s="23"/>
    </row>
    <row r="18" spans="1:8" ht="24" customHeight="1" x14ac:dyDescent="0.25">
      <c r="A18" s="169"/>
      <c r="B18" s="5" t="s">
        <v>3</v>
      </c>
      <c r="C18" s="2"/>
      <c r="D18" s="41">
        <f>IF(D16&lt;=500000,MIN(D17,12500),0)</f>
        <v>0</v>
      </c>
      <c r="E18" s="23"/>
      <c r="G18" s="166" t="s">
        <v>5</v>
      </c>
      <c r="H18" s="166"/>
    </row>
    <row r="19" spans="1:8" ht="24" customHeight="1" x14ac:dyDescent="0.25">
      <c r="A19" s="169"/>
      <c r="B19" s="5" t="s">
        <v>2</v>
      </c>
      <c r="C19" s="2"/>
      <c r="D19" s="41">
        <f>D17-D18</f>
        <v>0</v>
      </c>
      <c r="E19" s="24"/>
      <c r="G19" s="165"/>
      <c r="H19" s="165"/>
    </row>
    <row r="20" spans="1:8" ht="24" customHeight="1" x14ac:dyDescent="0.25">
      <c r="A20" s="169"/>
      <c r="B20" s="5" t="s">
        <v>4</v>
      </c>
      <c r="C20" s="2"/>
      <c r="D20" s="41">
        <f>ROUND(D19*0.04,0)</f>
        <v>0</v>
      </c>
      <c r="E20" s="23"/>
      <c r="G20" s="28" t="s">
        <v>6</v>
      </c>
      <c r="H20" s="29">
        <f>D13</f>
        <v>4800</v>
      </c>
    </row>
    <row r="21" spans="1:8" ht="24" customHeight="1" x14ac:dyDescent="0.25">
      <c r="A21" s="169"/>
      <c r="B21" s="5" t="s">
        <v>39</v>
      </c>
      <c r="C21" s="2"/>
      <c r="D21" s="47">
        <f>D19+D20</f>
        <v>0</v>
      </c>
      <c r="E21" s="25"/>
      <c r="G21" s="28" t="s">
        <v>7</v>
      </c>
      <c r="H21" s="30">
        <v>0</v>
      </c>
    </row>
    <row r="22" spans="1:8" ht="24" customHeight="1" x14ac:dyDescent="0.25">
      <c r="A22" s="169"/>
      <c r="B22" s="5" t="s">
        <v>49</v>
      </c>
      <c r="C22" s="2">
        <v>0</v>
      </c>
      <c r="D22" s="44">
        <f>C22</f>
        <v>0</v>
      </c>
      <c r="E22" s="23"/>
      <c r="G22" s="28" t="s">
        <v>43</v>
      </c>
      <c r="H22" s="31">
        <f>D14</f>
        <v>0</v>
      </c>
    </row>
    <row r="23" spans="1:8" ht="24" customHeight="1" x14ac:dyDescent="0.25">
      <c r="A23" s="169">
        <v>6</v>
      </c>
      <c r="B23" s="6" t="s">
        <v>38</v>
      </c>
      <c r="C23" s="2"/>
      <c r="D23" s="105">
        <f>ROUNDUP((D21-D22),-1)</f>
        <v>0</v>
      </c>
      <c r="E23" s="23"/>
      <c r="G23" s="28" t="s">
        <v>8</v>
      </c>
      <c r="H23" s="31">
        <f>+H20-H21-H22</f>
        <v>4800</v>
      </c>
    </row>
    <row r="24" spans="1:8" ht="24" customHeight="1" x14ac:dyDescent="0.25">
      <c r="A24" s="169"/>
      <c r="B24" s="5" t="s">
        <v>51</v>
      </c>
      <c r="C24" s="2"/>
      <c r="D24" s="41">
        <f>SUM(STATEMENT!J8:J19)+SUM(STATEMENT!J21:J23)</f>
        <v>0</v>
      </c>
      <c r="E24" s="23"/>
      <c r="G24" s="28" t="s">
        <v>9</v>
      </c>
      <c r="H24" s="32">
        <f>ROUND(IF(H23&lt;=250000,0,IF(H23&lt;=500000,(H23-250000)*0.05,IF(H23&lt;=750000,(H23-500000)*0.1+12500,IF(H23&lt;=1000000,(H23-750000)*0.15+37500,IF(H23&lt;=1250000,(H23-1000000)*0.2+75000,IF(H23&lt;=1500000,(H23-1250000)*0.25+125000,(H23-1500000)*0.3+187500)))))),0)</f>
        <v>0</v>
      </c>
    </row>
    <row r="25" spans="1:8" ht="24" customHeight="1" x14ac:dyDescent="0.25">
      <c r="A25" s="169"/>
      <c r="B25" s="6" t="s">
        <v>40</v>
      </c>
      <c r="C25" s="2"/>
      <c r="D25" s="105">
        <f>D23-D24</f>
        <v>0</v>
      </c>
      <c r="E25" s="23"/>
      <c r="G25" s="28" t="s">
        <v>10</v>
      </c>
      <c r="H25" s="32">
        <f>IF(H23&lt;=500000,MIN(H24,12500),0)</f>
        <v>0</v>
      </c>
    </row>
    <row r="26" spans="1:8" ht="24" customHeight="1" x14ac:dyDescent="0.25">
      <c r="A26" s="57"/>
      <c r="B26" s="57"/>
      <c r="C26" s="58"/>
      <c r="D26" s="75"/>
      <c r="E26" s="23"/>
      <c r="G26" s="28" t="s">
        <v>11</v>
      </c>
      <c r="H26" s="32">
        <f>H24-H25</f>
        <v>0</v>
      </c>
    </row>
    <row r="27" spans="1:8" ht="54" customHeight="1" x14ac:dyDescent="0.25">
      <c r="A27" s="162" t="s">
        <v>88</v>
      </c>
      <c r="B27" s="162"/>
      <c r="C27" s="162"/>
      <c r="D27" s="76"/>
      <c r="E27" s="26"/>
      <c r="G27" s="28" t="s">
        <v>12</v>
      </c>
      <c r="H27" s="32">
        <f>ROUND(H26*0.04,0)</f>
        <v>0</v>
      </c>
    </row>
    <row r="28" spans="1:8" ht="24" customHeight="1" x14ac:dyDescent="0.25">
      <c r="A28" s="59"/>
      <c r="B28" s="57"/>
      <c r="C28" s="58"/>
      <c r="D28" s="77"/>
      <c r="E28" s="23"/>
      <c r="G28" s="28" t="s">
        <v>13</v>
      </c>
      <c r="H28" s="32">
        <f>H26+H27</f>
        <v>0</v>
      </c>
    </row>
    <row r="29" spans="1:8" ht="24" customHeight="1" x14ac:dyDescent="0.25">
      <c r="A29" s="59"/>
      <c r="B29" s="160" t="s">
        <v>85</v>
      </c>
      <c r="C29" s="160"/>
      <c r="D29" s="77"/>
      <c r="E29" s="23"/>
      <c r="G29" s="28" t="s">
        <v>14</v>
      </c>
      <c r="H29" s="33">
        <f>D22</f>
        <v>0</v>
      </c>
    </row>
    <row r="30" spans="1:8" ht="24" customHeight="1" x14ac:dyDescent="0.25">
      <c r="A30" s="59"/>
      <c r="B30" s="57"/>
      <c r="C30" s="58"/>
      <c r="D30" s="77"/>
      <c r="E30" s="23"/>
      <c r="G30" s="28" t="s">
        <v>13</v>
      </c>
      <c r="H30" s="32">
        <f>H28-H29</f>
        <v>0</v>
      </c>
    </row>
    <row r="31" spans="1:8" ht="24" customHeight="1" x14ac:dyDescent="0.25">
      <c r="A31" s="72"/>
      <c r="B31" s="100" t="s">
        <v>124</v>
      </c>
      <c r="C31" s="59"/>
      <c r="D31" s="77"/>
      <c r="E31" s="23"/>
      <c r="G31" s="28" t="s">
        <v>15</v>
      </c>
      <c r="H31" s="32">
        <f>D24</f>
        <v>0</v>
      </c>
    </row>
    <row r="32" spans="1:8" ht="24" customHeight="1" x14ac:dyDescent="0.25">
      <c r="A32" s="59"/>
      <c r="B32" s="120" t="str">
        <f>STATEMENT!L3</f>
        <v>GOVERNMENT COLLEGE OF ENGG., JALGAON</v>
      </c>
      <c r="C32" s="58"/>
      <c r="D32" s="78" t="s">
        <v>84</v>
      </c>
      <c r="E32" s="23"/>
      <c r="G32" s="28" t="s">
        <v>11</v>
      </c>
      <c r="H32" s="34">
        <f>+H30-H31</f>
        <v>0</v>
      </c>
    </row>
    <row r="33" spans="1:8" ht="24" customHeight="1" x14ac:dyDescent="0.25">
      <c r="A33" s="15"/>
      <c r="C33" s="14"/>
      <c r="D33" s="14"/>
      <c r="E33" s="23"/>
      <c r="H33" s="1"/>
    </row>
    <row r="34" spans="1:8" ht="24" customHeight="1" x14ac:dyDescent="0.25">
      <c r="A34" s="14"/>
      <c r="C34" s="14"/>
      <c r="D34" s="14"/>
      <c r="E34" s="23"/>
      <c r="H34" s="1"/>
    </row>
    <row r="35" spans="1:8" ht="24" customHeight="1" x14ac:dyDescent="0.25">
      <c r="E35" s="23"/>
    </row>
    <row r="36" spans="1:8" ht="24" customHeight="1" x14ac:dyDescent="0.25">
      <c r="E36" s="23"/>
    </row>
    <row r="37" spans="1:8" ht="24" customHeight="1" x14ac:dyDescent="0.25">
      <c r="E37" s="23"/>
    </row>
    <row r="38" spans="1:8" ht="24" customHeight="1" x14ac:dyDescent="0.25">
      <c r="E38" s="21"/>
    </row>
    <row r="39" spans="1:8" ht="24" customHeight="1" x14ac:dyDescent="0.25">
      <c r="E39" s="20"/>
    </row>
    <row r="40" spans="1:8" ht="24" customHeight="1" x14ac:dyDescent="0.25">
      <c r="E40" s="20"/>
    </row>
    <row r="41" spans="1:8" ht="24" customHeight="1" x14ac:dyDescent="0.25">
      <c r="E41" s="20"/>
    </row>
    <row r="42" spans="1:8" ht="24" customHeight="1" x14ac:dyDescent="0.25">
      <c r="E42" s="20"/>
    </row>
    <row r="43" spans="1:8" ht="24" customHeight="1" x14ac:dyDescent="0.25">
      <c r="E43" s="20"/>
    </row>
    <row r="44" spans="1:8" ht="24" customHeight="1" x14ac:dyDescent="0.25">
      <c r="E44" s="20"/>
    </row>
    <row r="45" spans="1:8" ht="24" customHeight="1" x14ac:dyDescent="0.25">
      <c r="E45" s="27"/>
    </row>
    <row r="46" spans="1:8" ht="24" customHeight="1" x14ac:dyDescent="0.25">
      <c r="E46" s="23"/>
    </row>
    <row r="47" spans="1:8" ht="24" customHeight="1" x14ac:dyDescent="0.25">
      <c r="E47" s="27"/>
    </row>
    <row r="48" spans="1:8" ht="24" customHeight="1" x14ac:dyDescent="0.25">
      <c r="E48" s="20"/>
    </row>
    <row r="49" spans="5:5" ht="24" customHeight="1" x14ac:dyDescent="0.25">
      <c r="E49" s="27"/>
    </row>
    <row r="51" spans="5:5" ht="69" customHeight="1" x14ac:dyDescent="0.25">
      <c r="E51" s="17"/>
    </row>
    <row r="52" spans="5:5" ht="25.5" customHeight="1" x14ac:dyDescent="0.25">
      <c r="E52" s="14"/>
    </row>
    <row r="53" spans="5:5" ht="25.5" customHeight="1" x14ac:dyDescent="0.25">
      <c r="E53" s="14"/>
    </row>
    <row r="54" spans="5:5" ht="25.5" customHeight="1" x14ac:dyDescent="0.25">
      <c r="E54" s="16"/>
    </row>
    <row r="55" spans="5:5" ht="25.5" customHeight="1" x14ac:dyDescent="0.25">
      <c r="E55" s="14"/>
    </row>
    <row r="56" spans="5:5" ht="25.5" customHeight="1" x14ac:dyDescent="0.25"/>
    <row r="57" spans="5:5" ht="21.95" customHeight="1" x14ac:dyDescent="0.25">
      <c r="E57" s="14"/>
    </row>
    <row r="58" spans="5:5" ht="21.95" customHeight="1" x14ac:dyDescent="0.25">
      <c r="E58" s="14"/>
    </row>
  </sheetData>
  <mergeCells count="17">
    <mergeCell ref="A1:D1"/>
    <mergeCell ref="A2:D2"/>
    <mergeCell ref="G2:H2"/>
    <mergeCell ref="A3:D3"/>
    <mergeCell ref="G3:H3"/>
    <mergeCell ref="E1:E6"/>
    <mergeCell ref="B5:D5"/>
    <mergeCell ref="B6:D6"/>
    <mergeCell ref="C7:D7"/>
    <mergeCell ref="C8:D8"/>
    <mergeCell ref="A4:D4"/>
    <mergeCell ref="A23:A25"/>
    <mergeCell ref="A27:C27"/>
    <mergeCell ref="B29:C29"/>
    <mergeCell ref="G18:H18"/>
    <mergeCell ref="G19:H19"/>
    <mergeCell ref="A15:A22"/>
  </mergeCells>
  <printOptions horizontalCentered="1"/>
  <pageMargins left="0.74803149606299213" right="0.39370078740157483" top="0.55118110236220474" bottom="0.31496062992125984" header="0.31496062992125984" footer="0.11811023622047245"/>
  <pageSetup paperSize="9" scale="85" orientation="portrait" r:id="rId1"/>
  <rowBreaks count="1" manualBreakCount="1">
    <brk id="38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STATEMENT</vt:lpstr>
      <vt:lpstr>ANNEXURE 2021 OLD</vt:lpstr>
      <vt:lpstr>ANNEXURE 2021 NEW</vt:lpstr>
      <vt:lpstr>'ANNEXURE 2021 NEW'!Print_Area</vt:lpstr>
      <vt:lpstr>'ANNEXURE 2021 OLD'!Print_Area</vt:lpstr>
      <vt:lpstr>STATEMENT!Print_Area</vt:lpstr>
      <vt:lpstr>'ANNEXURE 2021 NEW'!Print_Titles</vt:lpstr>
      <vt:lpstr>'ANNEXURE 2021 OLD'!Print_Titles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ACCOUNT2</dc:creator>
  <cp:lastModifiedBy>hp</cp:lastModifiedBy>
  <cp:lastPrinted>2021-02-11T14:09:04Z</cp:lastPrinted>
  <dcterms:created xsi:type="dcterms:W3CDTF">2021-01-19T09:53:14Z</dcterms:created>
  <dcterms:modified xsi:type="dcterms:W3CDTF">2021-02-11T16:12:25Z</dcterms:modified>
</cp:coreProperties>
</file>